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zahorchakj/Desktop/18-19/18-19 Budget/"/>
    </mc:Choice>
  </mc:AlternateContent>
  <bookViews>
    <workbookView xWindow="0" yWindow="460" windowWidth="28800" windowHeight="17540" tabRatio="500"/>
  </bookViews>
  <sheets>
    <sheet name="trans subsidy actual" sheetId="3" r:id="rId1"/>
    <sheet name="estimated owed" sheetId="4" r:id="rId2"/>
    <sheet name="owed allowance" sheetId="1" r:id="rId3"/>
    <sheet name="contractor allowance" sheetId="2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3" l="1"/>
  <c r="G26" i="3"/>
  <c r="G19" i="3"/>
  <c r="G22" i="3"/>
  <c r="G27" i="3"/>
  <c r="G28" i="3"/>
  <c r="G30" i="3"/>
  <c r="G46" i="3"/>
  <c r="G48" i="3"/>
  <c r="G51" i="3"/>
  <c r="G53" i="3"/>
  <c r="G56" i="3"/>
  <c r="G42" i="3"/>
  <c r="G8" i="3"/>
  <c r="F59" i="3"/>
  <c r="F56" i="3"/>
  <c r="F55" i="3"/>
  <c r="F58" i="3"/>
  <c r="F48" i="3"/>
  <c r="E48" i="3"/>
  <c r="E51" i="3"/>
  <c r="E53" i="3"/>
  <c r="D18" i="4"/>
  <c r="D2" i="4"/>
  <c r="D3" i="4"/>
  <c r="D4" i="4"/>
  <c r="B6" i="4"/>
  <c r="B7" i="4"/>
  <c r="B9" i="4"/>
  <c r="B10" i="4"/>
  <c r="B14" i="4"/>
  <c r="B18" i="4"/>
  <c r="B21" i="4"/>
  <c r="B13" i="4"/>
  <c r="B4" i="4"/>
  <c r="B8" i="4"/>
  <c r="B3" i="4"/>
  <c r="B2" i="4"/>
  <c r="F26" i="3"/>
  <c r="F19" i="3"/>
  <c r="F22" i="3"/>
  <c r="F27" i="3"/>
  <c r="F28" i="3"/>
  <c r="F30" i="3"/>
  <c r="F46" i="3"/>
  <c r="F51" i="3"/>
  <c r="F53" i="3"/>
  <c r="E26" i="3"/>
  <c r="E19" i="3"/>
  <c r="E22" i="3"/>
  <c r="E27" i="3"/>
  <c r="E28" i="3"/>
  <c r="E30" i="3"/>
  <c r="E46" i="3"/>
  <c r="D26" i="3"/>
  <c r="D19" i="3"/>
  <c r="D22" i="3"/>
  <c r="D27" i="3"/>
  <c r="D28" i="3"/>
  <c r="D30" i="3"/>
  <c r="D46" i="3"/>
  <c r="D51" i="3"/>
  <c r="D53" i="3"/>
  <c r="C26" i="3"/>
  <c r="C19" i="3"/>
  <c r="C22" i="3"/>
  <c r="C27" i="3"/>
  <c r="C28" i="3"/>
  <c r="C30" i="3"/>
  <c r="C46" i="3"/>
  <c r="C51" i="3"/>
  <c r="C53" i="3"/>
  <c r="B28" i="3"/>
  <c r="B19" i="3"/>
  <c r="B22" i="3"/>
  <c r="B27" i="3"/>
  <c r="B30" i="3"/>
  <c r="B46" i="3"/>
  <c r="B51" i="3"/>
  <c r="B53" i="3"/>
  <c r="F42" i="3"/>
  <c r="E42" i="3"/>
  <c r="D42" i="3"/>
  <c r="C42" i="3"/>
  <c r="B42" i="3"/>
  <c r="F8" i="3"/>
  <c r="E8" i="3"/>
  <c r="D8" i="3"/>
  <c r="C8" i="3"/>
  <c r="B8" i="3"/>
  <c r="V9" i="2"/>
  <c r="N7" i="2"/>
  <c r="N6" i="2"/>
  <c r="N5" i="2"/>
  <c r="N3" i="2"/>
  <c r="M7" i="2"/>
  <c r="M6" i="2"/>
  <c r="M5" i="2"/>
  <c r="M4" i="2"/>
  <c r="M2" i="2"/>
  <c r="M3" i="2"/>
  <c r="N2" i="2"/>
  <c r="J2" i="2"/>
  <c r="L2" i="2"/>
  <c r="P2" i="2"/>
  <c r="Q2" i="2"/>
  <c r="S2" i="2"/>
  <c r="V2" i="2"/>
  <c r="J3" i="2"/>
  <c r="L3" i="2"/>
  <c r="P3" i="2"/>
  <c r="Q3" i="2"/>
  <c r="S3" i="2"/>
  <c r="V3" i="2"/>
  <c r="J4" i="2"/>
  <c r="L4" i="2"/>
  <c r="P4" i="2"/>
  <c r="Q4" i="2"/>
  <c r="S4" i="2"/>
  <c r="V4" i="2"/>
  <c r="J5" i="2"/>
  <c r="L5" i="2"/>
  <c r="P5" i="2"/>
  <c r="Q5" i="2"/>
  <c r="S5" i="2"/>
  <c r="V5" i="2"/>
  <c r="J6" i="2"/>
  <c r="L6" i="2"/>
  <c r="P6" i="2"/>
  <c r="Q6" i="2"/>
  <c r="S6" i="2"/>
  <c r="V6" i="2"/>
  <c r="J7" i="2"/>
  <c r="L7" i="2"/>
  <c r="P7" i="2"/>
  <c r="Q7" i="2"/>
  <c r="S7" i="2"/>
  <c r="V7" i="2"/>
  <c r="C7" i="2"/>
  <c r="G7" i="2"/>
  <c r="H7" i="2"/>
  <c r="C6" i="2"/>
  <c r="G6" i="2"/>
  <c r="H6" i="2"/>
  <c r="C5" i="2"/>
  <c r="G5" i="2"/>
  <c r="H5" i="2"/>
  <c r="C4" i="2"/>
  <c r="G4" i="2"/>
  <c r="H4" i="2"/>
  <c r="C3" i="2"/>
  <c r="G3" i="2"/>
  <c r="H3" i="2"/>
  <c r="C2" i="2"/>
  <c r="G2" i="2"/>
  <c r="H2" i="2"/>
  <c r="V58" i="1"/>
  <c r="C56" i="1"/>
  <c r="G56" i="1"/>
  <c r="H56" i="1"/>
  <c r="J56" i="1"/>
  <c r="L56" i="1"/>
  <c r="M56" i="1"/>
  <c r="P56" i="1"/>
  <c r="Q56" i="1"/>
  <c r="S56" i="1"/>
  <c r="V56" i="1"/>
  <c r="C53" i="1"/>
  <c r="G53" i="1"/>
  <c r="H53" i="1"/>
  <c r="J53" i="1"/>
  <c r="L53" i="1"/>
  <c r="M53" i="1"/>
  <c r="P53" i="1"/>
  <c r="Q53" i="1"/>
  <c r="S53" i="1"/>
  <c r="V53" i="1"/>
  <c r="C54" i="1"/>
  <c r="G54" i="1"/>
  <c r="H54" i="1"/>
  <c r="J54" i="1"/>
  <c r="L54" i="1"/>
  <c r="M54" i="1"/>
  <c r="P54" i="1"/>
  <c r="Q54" i="1"/>
  <c r="S54" i="1"/>
  <c r="V54" i="1"/>
  <c r="C55" i="1"/>
  <c r="G55" i="1"/>
  <c r="H55" i="1"/>
  <c r="J55" i="1"/>
  <c r="L55" i="1"/>
  <c r="M55" i="1"/>
  <c r="P55" i="1"/>
  <c r="Q55" i="1"/>
  <c r="S55" i="1"/>
  <c r="V55" i="1"/>
  <c r="C35" i="1"/>
  <c r="G35" i="1"/>
  <c r="H35" i="1"/>
  <c r="J35" i="1"/>
  <c r="L35" i="1"/>
  <c r="M35" i="1"/>
  <c r="P35" i="1"/>
  <c r="Q35" i="1"/>
  <c r="S35" i="1"/>
  <c r="V35" i="1"/>
  <c r="C36" i="1"/>
  <c r="G36" i="1"/>
  <c r="H36" i="1"/>
  <c r="J36" i="1"/>
  <c r="L36" i="1"/>
  <c r="M36" i="1"/>
  <c r="P36" i="1"/>
  <c r="Q36" i="1"/>
  <c r="S36" i="1"/>
  <c r="V36" i="1"/>
  <c r="C37" i="1"/>
  <c r="G37" i="1"/>
  <c r="H37" i="1"/>
  <c r="J37" i="1"/>
  <c r="L37" i="1"/>
  <c r="M37" i="1"/>
  <c r="P37" i="1"/>
  <c r="Q37" i="1"/>
  <c r="S37" i="1"/>
  <c r="V37" i="1"/>
  <c r="C38" i="1"/>
  <c r="G38" i="1"/>
  <c r="H38" i="1"/>
  <c r="J38" i="1"/>
  <c r="L38" i="1"/>
  <c r="M38" i="1"/>
  <c r="P38" i="1"/>
  <c r="Q38" i="1"/>
  <c r="S38" i="1"/>
  <c r="V38" i="1"/>
  <c r="C39" i="1"/>
  <c r="G39" i="1"/>
  <c r="H39" i="1"/>
  <c r="J39" i="1"/>
  <c r="L39" i="1"/>
  <c r="M39" i="1"/>
  <c r="P39" i="1"/>
  <c r="Q39" i="1"/>
  <c r="S39" i="1"/>
  <c r="V39" i="1"/>
  <c r="C40" i="1"/>
  <c r="G40" i="1"/>
  <c r="H40" i="1"/>
  <c r="J40" i="1"/>
  <c r="L40" i="1"/>
  <c r="M40" i="1"/>
  <c r="P40" i="1"/>
  <c r="Q40" i="1"/>
  <c r="S40" i="1"/>
  <c r="V40" i="1"/>
  <c r="C41" i="1"/>
  <c r="G41" i="1"/>
  <c r="H41" i="1"/>
  <c r="J41" i="1"/>
  <c r="L41" i="1"/>
  <c r="M41" i="1"/>
  <c r="P41" i="1"/>
  <c r="Q41" i="1"/>
  <c r="S41" i="1"/>
  <c r="V41" i="1"/>
  <c r="C42" i="1"/>
  <c r="G42" i="1"/>
  <c r="H42" i="1"/>
  <c r="J42" i="1"/>
  <c r="L42" i="1"/>
  <c r="M42" i="1"/>
  <c r="P42" i="1"/>
  <c r="Q42" i="1"/>
  <c r="S42" i="1"/>
  <c r="V42" i="1"/>
  <c r="C43" i="1"/>
  <c r="G43" i="1"/>
  <c r="H43" i="1"/>
  <c r="J43" i="1"/>
  <c r="L43" i="1"/>
  <c r="M43" i="1"/>
  <c r="P43" i="1"/>
  <c r="Q43" i="1"/>
  <c r="S43" i="1"/>
  <c r="V43" i="1"/>
  <c r="C44" i="1"/>
  <c r="G44" i="1"/>
  <c r="H44" i="1"/>
  <c r="J44" i="1"/>
  <c r="L44" i="1"/>
  <c r="M44" i="1"/>
  <c r="P44" i="1"/>
  <c r="Q44" i="1"/>
  <c r="S44" i="1"/>
  <c r="V44" i="1"/>
  <c r="C45" i="1"/>
  <c r="G45" i="1"/>
  <c r="H45" i="1"/>
  <c r="J45" i="1"/>
  <c r="L45" i="1"/>
  <c r="M45" i="1"/>
  <c r="P45" i="1"/>
  <c r="Q45" i="1"/>
  <c r="S45" i="1"/>
  <c r="V45" i="1"/>
  <c r="C46" i="1"/>
  <c r="G46" i="1"/>
  <c r="H46" i="1"/>
  <c r="J46" i="1"/>
  <c r="L46" i="1"/>
  <c r="M46" i="1"/>
  <c r="P46" i="1"/>
  <c r="Q46" i="1"/>
  <c r="S46" i="1"/>
  <c r="V46" i="1"/>
  <c r="C47" i="1"/>
  <c r="G47" i="1"/>
  <c r="H47" i="1"/>
  <c r="J47" i="1"/>
  <c r="L47" i="1"/>
  <c r="M47" i="1"/>
  <c r="P47" i="1"/>
  <c r="Q47" i="1"/>
  <c r="S47" i="1"/>
  <c r="V47" i="1"/>
  <c r="C48" i="1"/>
  <c r="G48" i="1"/>
  <c r="H48" i="1"/>
  <c r="J48" i="1"/>
  <c r="L48" i="1"/>
  <c r="M48" i="1"/>
  <c r="P48" i="1"/>
  <c r="Q48" i="1"/>
  <c r="S48" i="1"/>
  <c r="V48" i="1"/>
  <c r="C49" i="1"/>
  <c r="G49" i="1"/>
  <c r="H49" i="1"/>
  <c r="J49" i="1"/>
  <c r="L49" i="1"/>
  <c r="M49" i="1"/>
  <c r="P49" i="1"/>
  <c r="Q49" i="1"/>
  <c r="S49" i="1"/>
  <c r="V49" i="1"/>
  <c r="C50" i="1"/>
  <c r="G50" i="1"/>
  <c r="H50" i="1"/>
  <c r="J50" i="1"/>
  <c r="L50" i="1"/>
  <c r="M50" i="1"/>
  <c r="P50" i="1"/>
  <c r="Q50" i="1"/>
  <c r="S50" i="1"/>
  <c r="V50" i="1"/>
  <c r="C51" i="1"/>
  <c r="G51" i="1"/>
  <c r="H51" i="1"/>
  <c r="J51" i="1"/>
  <c r="L51" i="1"/>
  <c r="M51" i="1"/>
  <c r="P51" i="1"/>
  <c r="Q51" i="1"/>
  <c r="S51" i="1"/>
  <c r="V51" i="1"/>
  <c r="C52" i="1"/>
  <c r="G52" i="1"/>
  <c r="H52" i="1"/>
  <c r="J52" i="1"/>
  <c r="L52" i="1"/>
  <c r="M52" i="1"/>
  <c r="P52" i="1"/>
  <c r="Q52" i="1"/>
  <c r="S52" i="1"/>
  <c r="V52" i="1"/>
  <c r="C20" i="1"/>
  <c r="G20" i="1"/>
  <c r="H20" i="1"/>
  <c r="J20" i="1"/>
  <c r="L20" i="1"/>
  <c r="M20" i="1"/>
  <c r="P20" i="1"/>
  <c r="Q20" i="1"/>
  <c r="S20" i="1"/>
  <c r="V20" i="1"/>
  <c r="C21" i="1"/>
  <c r="G21" i="1"/>
  <c r="H21" i="1"/>
  <c r="J21" i="1"/>
  <c r="L21" i="1"/>
  <c r="M21" i="1"/>
  <c r="P21" i="1"/>
  <c r="Q21" i="1"/>
  <c r="S21" i="1"/>
  <c r="V21" i="1"/>
  <c r="C22" i="1"/>
  <c r="G22" i="1"/>
  <c r="H22" i="1"/>
  <c r="J22" i="1"/>
  <c r="L22" i="1"/>
  <c r="M22" i="1"/>
  <c r="P22" i="1"/>
  <c r="Q22" i="1"/>
  <c r="S22" i="1"/>
  <c r="V22" i="1"/>
  <c r="C23" i="1"/>
  <c r="G23" i="1"/>
  <c r="H23" i="1"/>
  <c r="J23" i="1"/>
  <c r="L23" i="1"/>
  <c r="M23" i="1"/>
  <c r="P23" i="1"/>
  <c r="Q23" i="1"/>
  <c r="S23" i="1"/>
  <c r="V23" i="1"/>
  <c r="C24" i="1"/>
  <c r="G24" i="1"/>
  <c r="H24" i="1"/>
  <c r="J24" i="1"/>
  <c r="L24" i="1"/>
  <c r="M24" i="1"/>
  <c r="P24" i="1"/>
  <c r="Q24" i="1"/>
  <c r="S24" i="1"/>
  <c r="V24" i="1"/>
  <c r="C25" i="1"/>
  <c r="G25" i="1"/>
  <c r="H25" i="1"/>
  <c r="J25" i="1"/>
  <c r="L25" i="1"/>
  <c r="M25" i="1"/>
  <c r="P25" i="1"/>
  <c r="Q25" i="1"/>
  <c r="S25" i="1"/>
  <c r="V25" i="1"/>
  <c r="C26" i="1"/>
  <c r="G26" i="1"/>
  <c r="H26" i="1"/>
  <c r="J26" i="1"/>
  <c r="L26" i="1"/>
  <c r="M26" i="1"/>
  <c r="P26" i="1"/>
  <c r="Q26" i="1"/>
  <c r="S26" i="1"/>
  <c r="V26" i="1"/>
  <c r="C27" i="1"/>
  <c r="G27" i="1"/>
  <c r="H27" i="1"/>
  <c r="J27" i="1"/>
  <c r="L27" i="1"/>
  <c r="M27" i="1"/>
  <c r="P27" i="1"/>
  <c r="Q27" i="1"/>
  <c r="S27" i="1"/>
  <c r="V27" i="1"/>
  <c r="C28" i="1"/>
  <c r="G28" i="1"/>
  <c r="H28" i="1"/>
  <c r="J28" i="1"/>
  <c r="L28" i="1"/>
  <c r="M28" i="1"/>
  <c r="P28" i="1"/>
  <c r="Q28" i="1"/>
  <c r="S28" i="1"/>
  <c r="V28" i="1"/>
  <c r="C29" i="1"/>
  <c r="G29" i="1"/>
  <c r="H29" i="1"/>
  <c r="J29" i="1"/>
  <c r="L29" i="1"/>
  <c r="M29" i="1"/>
  <c r="P29" i="1"/>
  <c r="Q29" i="1"/>
  <c r="S29" i="1"/>
  <c r="V29" i="1"/>
  <c r="C30" i="1"/>
  <c r="G30" i="1"/>
  <c r="H30" i="1"/>
  <c r="J30" i="1"/>
  <c r="L30" i="1"/>
  <c r="M30" i="1"/>
  <c r="P30" i="1"/>
  <c r="Q30" i="1"/>
  <c r="S30" i="1"/>
  <c r="V30" i="1"/>
  <c r="C31" i="1"/>
  <c r="G31" i="1"/>
  <c r="H31" i="1"/>
  <c r="J31" i="1"/>
  <c r="L31" i="1"/>
  <c r="M31" i="1"/>
  <c r="P31" i="1"/>
  <c r="Q31" i="1"/>
  <c r="S31" i="1"/>
  <c r="V31" i="1"/>
  <c r="C32" i="1"/>
  <c r="G32" i="1"/>
  <c r="H32" i="1"/>
  <c r="J32" i="1"/>
  <c r="L32" i="1"/>
  <c r="M32" i="1"/>
  <c r="P32" i="1"/>
  <c r="Q32" i="1"/>
  <c r="S32" i="1"/>
  <c r="V32" i="1"/>
  <c r="C33" i="1"/>
  <c r="G33" i="1"/>
  <c r="H33" i="1"/>
  <c r="J33" i="1"/>
  <c r="L33" i="1"/>
  <c r="M33" i="1"/>
  <c r="P33" i="1"/>
  <c r="Q33" i="1"/>
  <c r="S33" i="1"/>
  <c r="V33" i="1"/>
  <c r="C34" i="1"/>
  <c r="G34" i="1"/>
  <c r="H34" i="1"/>
  <c r="J34" i="1"/>
  <c r="L34" i="1"/>
  <c r="M34" i="1"/>
  <c r="P34" i="1"/>
  <c r="Q34" i="1"/>
  <c r="S34" i="1"/>
  <c r="V34" i="1"/>
  <c r="Q4" i="1"/>
  <c r="C3" i="1"/>
  <c r="G3" i="1"/>
  <c r="H3" i="1"/>
  <c r="J3" i="1"/>
  <c r="L3" i="1"/>
  <c r="M3" i="1"/>
  <c r="P3" i="1"/>
  <c r="Q3" i="1"/>
  <c r="S3" i="1"/>
  <c r="V3" i="1"/>
  <c r="C4" i="1"/>
  <c r="G4" i="1"/>
  <c r="H4" i="1"/>
  <c r="J4" i="1"/>
  <c r="L4" i="1"/>
  <c r="M4" i="1"/>
  <c r="P4" i="1"/>
  <c r="S4" i="1"/>
  <c r="V4" i="1"/>
  <c r="C5" i="1"/>
  <c r="G5" i="1"/>
  <c r="H5" i="1"/>
  <c r="J5" i="1"/>
  <c r="L5" i="1"/>
  <c r="M5" i="1"/>
  <c r="P5" i="1"/>
  <c r="Q5" i="1"/>
  <c r="S5" i="1"/>
  <c r="V5" i="1"/>
  <c r="C6" i="1"/>
  <c r="G6" i="1"/>
  <c r="H6" i="1"/>
  <c r="J6" i="1"/>
  <c r="L6" i="1"/>
  <c r="M6" i="1"/>
  <c r="P6" i="1"/>
  <c r="Q6" i="1"/>
  <c r="S6" i="1"/>
  <c r="V6" i="1"/>
  <c r="C7" i="1"/>
  <c r="G7" i="1"/>
  <c r="H7" i="1"/>
  <c r="J7" i="1"/>
  <c r="L7" i="1"/>
  <c r="M7" i="1"/>
  <c r="P7" i="1"/>
  <c r="Q7" i="1"/>
  <c r="S7" i="1"/>
  <c r="V7" i="1"/>
  <c r="C8" i="1"/>
  <c r="G8" i="1"/>
  <c r="H8" i="1"/>
  <c r="J8" i="1"/>
  <c r="L8" i="1"/>
  <c r="M8" i="1"/>
  <c r="P8" i="1"/>
  <c r="Q8" i="1"/>
  <c r="S8" i="1"/>
  <c r="V8" i="1"/>
  <c r="C9" i="1"/>
  <c r="G9" i="1"/>
  <c r="H9" i="1"/>
  <c r="J9" i="1"/>
  <c r="L9" i="1"/>
  <c r="M9" i="1"/>
  <c r="P9" i="1"/>
  <c r="Q9" i="1"/>
  <c r="S9" i="1"/>
  <c r="V9" i="1"/>
  <c r="C10" i="1"/>
  <c r="G10" i="1"/>
  <c r="H10" i="1"/>
  <c r="J10" i="1"/>
  <c r="L10" i="1"/>
  <c r="M10" i="1"/>
  <c r="P10" i="1"/>
  <c r="Q10" i="1"/>
  <c r="S10" i="1"/>
  <c r="V10" i="1"/>
  <c r="C11" i="1"/>
  <c r="G11" i="1"/>
  <c r="H11" i="1"/>
  <c r="J11" i="1"/>
  <c r="L11" i="1"/>
  <c r="M11" i="1"/>
  <c r="P11" i="1"/>
  <c r="Q11" i="1"/>
  <c r="S11" i="1"/>
  <c r="V11" i="1"/>
  <c r="C12" i="1"/>
  <c r="G12" i="1"/>
  <c r="H12" i="1"/>
  <c r="J12" i="1"/>
  <c r="L12" i="1"/>
  <c r="M12" i="1"/>
  <c r="P12" i="1"/>
  <c r="Q12" i="1"/>
  <c r="S12" i="1"/>
  <c r="V12" i="1"/>
  <c r="C13" i="1"/>
  <c r="G13" i="1"/>
  <c r="H13" i="1"/>
  <c r="J13" i="1"/>
  <c r="L13" i="1"/>
  <c r="M13" i="1"/>
  <c r="P13" i="1"/>
  <c r="Q13" i="1"/>
  <c r="S13" i="1"/>
  <c r="V13" i="1"/>
  <c r="C14" i="1"/>
  <c r="G14" i="1"/>
  <c r="H14" i="1"/>
  <c r="J14" i="1"/>
  <c r="L14" i="1"/>
  <c r="M14" i="1"/>
  <c r="P14" i="1"/>
  <c r="Q14" i="1"/>
  <c r="S14" i="1"/>
  <c r="V14" i="1"/>
  <c r="C15" i="1"/>
  <c r="G15" i="1"/>
  <c r="H15" i="1"/>
  <c r="J15" i="1"/>
  <c r="L15" i="1"/>
  <c r="M15" i="1"/>
  <c r="P15" i="1"/>
  <c r="Q15" i="1"/>
  <c r="S15" i="1"/>
  <c r="V15" i="1"/>
  <c r="C16" i="1"/>
  <c r="G16" i="1"/>
  <c r="H16" i="1"/>
  <c r="J16" i="1"/>
  <c r="L16" i="1"/>
  <c r="M16" i="1"/>
  <c r="P16" i="1"/>
  <c r="Q16" i="1"/>
  <c r="S16" i="1"/>
  <c r="V16" i="1"/>
  <c r="C17" i="1"/>
  <c r="G17" i="1"/>
  <c r="H17" i="1"/>
  <c r="J17" i="1"/>
  <c r="L17" i="1"/>
  <c r="M17" i="1"/>
  <c r="P17" i="1"/>
  <c r="Q17" i="1"/>
  <c r="S17" i="1"/>
  <c r="V17" i="1"/>
  <c r="C18" i="1"/>
  <c r="G18" i="1"/>
  <c r="H18" i="1"/>
  <c r="J18" i="1"/>
  <c r="L18" i="1"/>
  <c r="M18" i="1"/>
  <c r="P18" i="1"/>
  <c r="Q18" i="1"/>
  <c r="S18" i="1"/>
  <c r="V18" i="1"/>
  <c r="C19" i="1"/>
  <c r="G19" i="1"/>
  <c r="H19" i="1"/>
  <c r="J19" i="1"/>
  <c r="L19" i="1"/>
  <c r="M19" i="1"/>
  <c r="P19" i="1"/>
  <c r="Q19" i="1"/>
  <c r="S19" i="1"/>
  <c r="V19" i="1"/>
  <c r="C2" i="1"/>
  <c r="S2" i="1"/>
  <c r="V2" i="1"/>
  <c r="Q2" i="1"/>
  <c r="P2" i="1"/>
  <c r="L2" i="1"/>
  <c r="M2" i="1"/>
  <c r="J2" i="1"/>
  <c r="G2" i="1"/>
  <c r="H2" i="1"/>
</calcChain>
</file>

<file path=xl/sharedStrings.xml><?xml version="1.0" encoding="utf-8"?>
<sst xmlns="http://schemas.openxmlformats.org/spreadsheetml/2006/main" count="111" uniqueCount="80">
  <si>
    <t>Vehicle ID</t>
  </si>
  <si>
    <t>Shared Service</t>
  </si>
  <si>
    <t>Miles &lt; 20</t>
  </si>
  <si>
    <t>Number Days</t>
  </si>
  <si>
    <t>1 Way</t>
  </si>
  <si>
    <t>Final Fraction</t>
  </si>
  <si>
    <t>Basic Allowance</t>
  </si>
  <si>
    <t>Millage Allowance</t>
  </si>
  <si>
    <t>UPCM Allowance</t>
  </si>
  <si>
    <t>Excess Hours</t>
  </si>
  <si>
    <t>Total</t>
  </si>
  <si>
    <t>Bus Capacity</t>
  </si>
  <si>
    <t>Age</t>
  </si>
  <si>
    <t>Daily Miles</t>
  </si>
  <si>
    <t>Number of Days</t>
  </si>
  <si>
    <t>Pupils</t>
  </si>
  <si>
    <t>Plum Borough School District</t>
  </si>
  <si>
    <t>Transportation Subsidy</t>
  </si>
  <si>
    <t>Payable 2014</t>
  </si>
  <si>
    <t>Payable 2015</t>
  </si>
  <si>
    <t>Payable 2016</t>
  </si>
  <si>
    <t>Payable 2017</t>
  </si>
  <si>
    <t>Payable 2018</t>
  </si>
  <si>
    <t>For the Year Ending</t>
  </si>
  <si>
    <t>PDE - 2576</t>
  </si>
  <si>
    <t>Actual</t>
  </si>
  <si>
    <t>Budget</t>
  </si>
  <si>
    <t>School Year Ended</t>
  </si>
  <si>
    <t>Market Value</t>
  </si>
  <si>
    <t>Half Mill of Market Value</t>
  </si>
  <si>
    <t>Market Value Aid Ratio</t>
  </si>
  <si>
    <t>Days In Session</t>
  </si>
  <si>
    <t>Total Pupils Transported</t>
  </si>
  <si>
    <t>Public - Non-Hazardous</t>
  </si>
  <si>
    <t>Public - Hazardous</t>
  </si>
  <si>
    <t>Non-Publics</t>
  </si>
  <si>
    <t>Total of all Allowances LEA Owned</t>
  </si>
  <si>
    <t>Cost Index</t>
  </si>
  <si>
    <t>Deductions</t>
  </si>
  <si>
    <t>Non reimburseable</t>
  </si>
  <si>
    <t>Final Formula Allownance</t>
  </si>
  <si>
    <t>Approved Contractor</t>
  </si>
  <si>
    <t>Approved Contractor Cost</t>
  </si>
  <si>
    <t>Total Approved</t>
  </si>
  <si>
    <t>Market Value Aide Ratio</t>
  </si>
  <si>
    <t>District Transportation</t>
  </si>
  <si>
    <t>PDE - 2521</t>
  </si>
  <si>
    <t>IU Transportation</t>
  </si>
  <si>
    <t>Total Cost</t>
  </si>
  <si>
    <t>Approved Cost</t>
  </si>
  <si>
    <t>State Share (approved cost * aid ratio)</t>
  </si>
  <si>
    <t>SD Deduction (Basic Ed Deduction)</t>
  </si>
  <si>
    <t>AVTS Transportation</t>
  </si>
  <si>
    <t xml:space="preserve">State Share </t>
  </si>
  <si>
    <t>Excess Cost</t>
  </si>
  <si>
    <t>Depreciation</t>
  </si>
  <si>
    <t>Regular Transportation Subsidy</t>
  </si>
  <si>
    <t>Non publics transported</t>
  </si>
  <si>
    <t>Charter transported</t>
  </si>
  <si>
    <t>Subsidy</t>
  </si>
  <si>
    <t>Total Subsidy</t>
  </si>
  <si>
    <t>Allowances</t>
  </si>
  <si>
    <t>District Owned</t>
  </si>
  <si>
    <t>Contractor</t>
  </si>
  <si>
    <t>Final Formula</t>
  </si>
  <si>
    <t>Max Allowable Cost</t>
  </si>
  <si>
    <t>Share Share (MVAR .6497)</t>
  </si>
  <si>
    <t>Less Reduction for Non Reimbure</t>
  </si>
  <si>
    <t>200 Estimated students</t>
  </si>
  <si>
    <t>Approved Reimbursement</t>
  </si>
  <si>
    <t>Nonpublic and Charter Students</t>
  </si>
  <si>
    <t>300 Estimated Students</t>
  </si>
  <si>
    <t>Total Reimbursement</t>
  </si>
  <si>
    <t xml:space="preserve">Owed for 15-16 </t>
  </si>
  <si>
    <t>Total to be paid in 17-18 SY</t>
  </si>
  <si>
    <t>Increase from Prior Year</t>
  </si>
  <si>
    <t>Increase from prior year</t>
  </si>
  <si>
    <t>* Add 72 non public students per Scott to 15-16 (AP from 15-16)</t>
  </si>
  <si>
    <t>Total Subsidy from 16-17 in 17-18</t>
  </si>
  <si>
    <t>With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</si>
</sst>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0"/>
      <name val="Calibri Light"/>
      <family val="2"/>
      <scheme val="major"/>
    </font>
    <font>
      <b/>
      <i/>
      <sz val="10"/>
      <name val="Calibri Light"/>
      <family val="2"/>
      <scheme val="major"/>
    </font>
    <font>
      <b/>
      <i/>
      <u/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2" fontId="0" fillId="0" borderId="2" xfId="0" applyNumberFormat="1" applyBorder="1"/>
    <xf numFmtId="2" fontId="0" fillId="3" borderId="2" xfId="0" applyNumberFormat="1" applyFill="1" applyBorder="1"/>
    <xf numFmtId="4" fontId="0" fillId="0" borderId="0" xfId="0" applyNumberFormat="1"/>
    <xf numFmtId="2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3" borderId="2" xfId="0" applyFill="1" applyBorder="1"/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0" xfId="0" applyFill="1"/>
    <xf numFmtId="0" fontId="2" fillId="4" borderId="1" xfId="0" applyFont="1" applyFill="1" applyBorder="1" applyAlignment="1">
      <alignment horizontal="center" vertical="top" wrapText="1"/>
    </xf>
    <xf numFmtId="0" fontId="0" fillId="4" borderId="2" xfId="0" applyFill="1" applyBorder="1"/>
    <xf numFmtId="0" fontId="0" fillId="4" borderId="0" xfId="0" applyFill="1"/>
    <xf numFmtId="2" fontId="2" fillId="4" borderId="1" xfId="0" applyNumberFormat="1" applyFont="1" applyFill="1" applyBorder="1" applyAlignment="1">
      <alignment horizontal="center" vertical="top" wrapText="1"/>
    </xf>
    <xf numFmtId="2" fontId="0" fillId="4" borderId="2" xfId="0" applyNumberFormat="1" applyFill="1" applyBorder="1"/>
    <xf numFmtId="2" fontId="0" fillId="4" borderId="0" xfId="0" applyNumberFormat="1" applyFill="1"/>
    <xf numFmtId="2" fontId="2" fillId="3" borderId="1" xfId="0" applyNumberFormat="1" applyFont="1" applyFill="1" applyBorder="1" applyAlignment="1">
      <alignment horizontal="center" vertical="top" wrapText="1"/>
    </xf>
    <xf numFmtId="2" fontId="0" fillId="3" borderId="0" xfId="0" applyNumberFormat="1" applyFill="1"/>
    <xf numFmtId="0" fontId="2" fillId="5" borderId="1" xfId="0" applyFont="1" applyFill="1" applyBorder="1" applyAlignment="1">
      <alignment horizontal="center" vertical="top" wrapText="1"/>
    </xf>
    <xf numFmtId="0" fontId="0" fillId="5" borderId="2" xfId="0" applyFill="1" applyBorder="1"/>
    <xf numFmtId="0" fontId="0" fillId="5" borderId="0" xfId="0" applyFill="1"/>
    <xf numFmtId="4" fontId="0" fillId="0" borderId="3" xfId="0" applyNumberFormat="1" applyBorder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/>
    <xf numFmtId="164" fontId="3" fillId="0" borderId="0" xfId="0" applyNumberFormat="1" applyFont="1" applyBorder="1"/>
    <xf numFmtId="4" fontId="3" fillId="0" borderId="0" xfId="0" applyNumberFormat="1" applyFont="1" applyBorder="1"/>
    <xf numFmtId="4" fontId="3" fillId="0" borderId="3" xfId="0" applyNumberFormat="1" applyFont="1" applyBorder="1"/>
    <xf numFmtId="0" fontId="4" fillId="0" borderId="3" xfId="0" applyFont="1" applyBorder="1"/>
    <xf numFmtId="4" fontId="3" fillId="0" borderId="4" xfId="0" applyNumberFormat="1" applyFont="1" applyBorder="1"/>
    <xf numFmtId="4" fontId="4" fillId="0" borderId="4" xfId="0" applyNumberFormat="1" applyFont="1" applyBorder="1"/>
    <xf numFmtId="0" fontId="6" fillId="0" borderId="0" xfId="0" applyFont="1"/>
    <xf numFmtId="4" fontId="3" fillId="0" borderId="5" xfId="0" applyNumberFormat="1" applyFont="1" applyBorder="1"/>
    <xf numFmtId="0" fontId="5" fillId="0" borderId="0" xfId="0" applyFont="1"/>
    <xf numFmtId="0" fontId="7" fillId="0" borderId="0" xfId="0" applyFont="1"/>
    <xf numFmtId="4" fontId="3" fillId="0" borderId="6" xfId="0" applyNumberFormat="1" applyFont="1" applyBorder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39" fontId="3" fillId="0" borderId="5" xfId="0" applyNumberFormat="1" applyFont="1" applyBorder="1"/>
    <xf numFmtId="1" fontId="3" fillId="0" borderId="0" xfId="0" applyNumberFormat="1" applyFont="1"/>
    <xf numFmtId="4" fontId="3" fillId="0" borderId="3" xfId="1" applyNumberFormat="1" applyFont="1" applyBorder="1"/>
    <xf numFmtId="164" fontId="4" fillId="0" borderId="0" xfId="0" applyNumberFormat="1" applyFont="1"/>
    <xf numFmtId="164" fontId="4" fillId="0" borderId="4" xfId="0" applyNumberFormat="1" applyFont="1" applyBorder="1"/>
    <xf numFmtId="164" fontId="4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topLeftCell="A41" workbookViewId="0">
      <selection activeCell="K64" sqref="K64"/>
    </sheetView>
  </sheetViews>
  <sheetFormatPr baseColWidth="10" defaultRowHeight="16" x14ac:dyDescent="0.2"/>
  <cols>
    <col min="1" max="1" width="23" style="28" customWidth="1"/>
    <col min="2" max="7" width="15.6640625" style="28" customWidth="1"/>
  </cols>
  <sheetData>
    <row r="2" spans="1:7" x14ac:dyDescent="0.2">
      <c r="A2" s="27" t="s">
        <v>16</v>
      </c>
    </row>
    <row r="3" spans="1:7" x14ac:dyDescent="0.2">
      <c r="A3" s="27" t="s">
        <v>17</v>
      </c>
      <c r="B3" s="29" t="s">
        <v>18</v>
      </c>
      <c r="C3" s="29" t="s">
        <v>19</v>
      </c>
      <c r="D3" s="29" t="s">
        <v>20</v>
      </c>
      <c r="E3" s="29" t="s">
        <v>21</v>
      </c>
      <c r="F3" s="29" t="s">
        <v>22</v>
      </c>
      <c r="G3" s="29" t="s">
        <v>22</v>
      </c>
    </row>
    <row r="4" spans="1:7" x14ac:dyDescent="0.2">
      <c r="A4" s="27" t="s">
        <v>23</v>
      </c>
    </row>
    <row r="5" spans="1:7" x14ac:dyDescent="0.2">
      <c r="A5" s="27" t="s">
        <v>24</v>
      </c>
      <c r="B5" s="29" t="s">
        <v>25</v>
      </c>
      <c r="C5" s="29" t="s">
        <v>25</v>
      </c>
      <c r="D5" s="29" t="s">
        <v>25</v>
      </c>
      <c r="E5" s="29" t="s">
        <v>25</v>
      </c>
      <c r="F5" s="29" t="s">
        <v>25</v>
      </c>
      <c r="G5" s="29" t="s">
        <v>26</v>
      </c>
    </row>
    <row r="6" spans="1:7" x14ac:dyDescent="0.2">
      <c r="A6" s="27" t="s">
        <v>27</v>
      </c>
      <c r="B6" s="29">
        <v>2013</v>
      </c>
      <c r="C6" s="29">
        <v>2014</v>
      </c>
      <c r="D6" s="29">
        <v>2015</v>
      </c>
      <c r="E6" s="29">
        <v>2016</v>
      </c>
      <c r="F6" s="29">
        <v>2017</v>
      </c>
      <c r="G6" s="29">
        <v>2018</v>
      </c>
    </row>
    <row r="7" spans="1:7" x14ac:dyDescent="0.2">
      <c r="A7" s="27" t="s">
        <v>28</v>
      </c>
      <c r="B7" s="30">
        <v>1143884663</v>
      </c>
      <c r="C7" s="30">
        <v>1143884663</v>
      </c>
      <c r="D7" s="30">
        <v>1345641413</v>
      </c>
      <c r="E7" s="30">
        <v>1354754417</v>
      </c>
      <c r="F7" s="30">
        <v>1397733037</v>
      </c>
      <c r="G7" s="30">
        <v>1397733037</v>
      </c>
    </row>
    <row r="8" spans="1:7" x14ac:dyDescent="0.2">
      <c r="A8" s="27" t="s">
        <v>29</v>
      </c>
      <c r="B8" s="30">
        <f t="shared" ref="B8:F8" si="0">B7*0.0005</f>
        <v>571942.33149999997</v>
      </c>
      <c r="C8" s="30">
        <f t="shared" si="0"/>
        <v>571942.33149999997</v>
      </c>
      <c r="D8" s="30">
        <f t="shared" si="0"/>
        <v>672820.70649999997</v>
      </c>
      <c r="E8" s="30">
        <f t="shared" si="0"/>
        <v>677377.20850000007</v>
      </c>
      <c r="F8" s="30">
        <f t="shared" si="0"/>
        <v>698866.51850000001</v>
      </c>
      <c r="G8" s="30">
        <f t="shared" ref="G8" si="1">G7*0.0005</f>
        <v>698866.51850000001</v>
      </c>
    </row>
    <row r="9" spans="1:7" x14ac:dyDescent="0.2">
      <c r="A9" s="27" t="s">
        <v>30</v>
      </c>
      <c r="B9" s="27">
        <v>0.7026</v>
      </c>
      <c r="C9" s="27">
        <v>0.69869999999999999</v>
      </c>
      <c r="D9" s="27">
        <v>0.70289999999999997</v>
      </c>
      <c r="E9" s="27">
        <v>0.65790000000000004</v>
      </c>
      <c r="F9" s="27">
        <v>0.65790000000000004</v>
      </c>
      <c r="G9" s="27">
        <v>0.65790000000000004</v>
      </c>
    </row>
    <row r="10" spans="1:7" x14ac:dyDescent="0.2">
      <c r="A10" s="27" t="s">
        <v>31</v>
      </c>
      <c r="B10" s="27">
        <v>180</v>
      </c>
      <c r="C10" s="27">
        <v>180</v>
      </c>
      <c r="D10" s="27">
        <v>180</v>
      </c>
      <c r="E10" s="27">
        <v>180</v>
      </c>
      <c r="F10" s="27">
        <v>180</v>
      </c>
      <c r="G10" s="27">
        <v>180</v>
      </c>
    </row>
    <row r="12" spans="1:7" x14ac:dyDescent="0.2">
      <c r="A12" s="27" t="s">
        <v>32</v>
      </c>
      <c r="B12" s="27">
        <v>3622</v>
      </c>
      <c r="C12" s="27">
        <v>3747</v>
      </c>
      <c r="D12" s="27">
        <v>3980</v>
      </c>
      <c r="E12" s="27">
        <v>3969</v>
      </c>
      <c r="F12" s="27">
        <v>4335</v>
      </c>
      <c r="G12" s="27">
        <v>4335</v>
      </c>
    </row>
    <row r="13" spans="1:7" x14ac:dyDescent="0.2">
      <c r="A13" s="27" t="s">
        <v>33</v>
      </c>
      <c r="B13" s="27">
        <v>3038</v>
      </c>
      <c r="C13" s="27">
        <v>3094</v>
      </c>
      <c r="D13" s="27">
        <v>3210</v>
      </c>
      <c r="E13" s="27">
        <v>3416</v>
      </c>
      <c r="F13" s="27">
        <v>2715</v>
      </c>
      <c r="G13" s="27">
        <v>2715</v>
      </c>
    </row>
    <row r="14" spans="1:7" x14ac:dyDescent="0.2">
      <c r="A14" s="27" t="s">
        <v>34</v>
      </c>
      <c r="B14" s="27">
        <v>264</v>
      </c>
      <c r="C14" s="27">
        <v>389</v>
      </c>
      <c r="D14" s="27">
        <v>389</v>
      </c>
      <c r="E14" s="27">
        <v>396</v>
      </c>
      <c r="F14" s="27">
        <v>1334</v>
      </c>
      <c r="G14" s="27">
        <v>1334</v>
      </c>
    </row>
    <row r="15" spans="1:7" x14ac:dyDescent="0.2">
      <c r="A15" s="27" t="s">
        <v>35</v>
      </c>
      <c r="B15" s="27">
        <v>320</v>
      </c>
      <c r="C15" s="27">
        <v>264</v>
      </c>
      <c r="D15" s="27">
        <v>381</v>
      </c>
      <c r="E15" s="27">
        <v>157</v>
      </c>
      <c r="F15" s="27">
        <v>286</v>
      </c>
      <c r="G15" s="27">
        <v>286</v>
      </c>
    </row>
    <row r="17" spans="1:7" x14ac:dyDescent="0.2">
      <c r="A17" s="27" t="s">
        <v>36</v>
      </c>
      <c r="B17" s="31">
        <v>300377.98</v>
      </c>
      <c r="C17" s="31">
        <v>238382.98</v>
      </c>
      <c r="D17" s="31">
        <v>246690.36</v>
      </c>
      <c r="E17" s="31">
        <v>273044.09999999998</v>
      </c>
      <c r="F17" s="31">
        <v>333106.64</v>
      </c>
      <c r="G17" s="31">
        <v>333106.64</v>
      </c>
    </row>
    <row r="18" spans="1:7" x14ac:dyDescent="0.2">
      <c r="A18" s="27" t="s">
        <v>37</v>
      </c>
      <c r="B18" s="32">
        <v>5.31</v>
      </c>
      <c r="C18" s="32">
        <v>5.4</v>
      </c>
      <c r="D18" s="32">
        <v>5.4809999999999999</v>
      </c>
      <c r="E18" s="32">
        <v>5.5250000000000004</v>
      </c>
      <c r="F18" s="32">
        <v>5.5640000000000001</v>
      </c>
      <c r="G18" s="32">
        <v>5.681</v>
      </c>
    </row>
    <row r="19" spans="1:7" x14ac:dyDescent="0.2">
      <c r="A19" s="27"/>
      <c r="B19" s="33">
        <f>B17*B18</f>
        <v>1595007.0737999999</v>
      </c>
      <c r="C19" s="33">
        <f t="shared" ref="C19:F19" si="2">C17*C18</f>
        <v>1287268.0920000002</v>
      </c>
      <c r="D19" s="33">
        <f t="shared" si="2"/>
        <v>1352109.8631599999</v>
      </c>
      <c r="E19" s="33">
        <f t="shared" si="2"/>
        <v>1508568.6525000001</v>
      </c>
      <c r="F19" s="33">
        <f t="shared" si="2"/>
        <v>1853405.3449600001</v>
      </c>
      <c r="G19" s="33">
        <f t="shared" ref="G19" si="3">G17*G18</f>
        <v>1892378.8218400001</v>
      </c>
    </row>
    <row r="20" spans="1:7" x14ac:dyDescent="0.2">
      <c r="A20" s="27" t="s">
        <v>38</v>
      </c>
      <c r="B20" s="28">
        <v>40088.9</v>
      </c>
      <c r="C20" s="28">
        <v>32376.959999999999</v>
      </c>
      <c r="D20" s="28">
        <v>35000</v>
      </c>
      <c r="E20" s="28">
        <v>34300</v>
      </c>
      <c r="F20" s="28">
        <v>38500</v>
      </c>
      <c r="G20" s="28">
        <v>38500</v>
      </c>
    </row>
    <row r="21" spans="1:7" x14ac:dyDescent="0.2">
      <c r="A21" s="27" t="s">
        <v>39</v>
      </c>
      <c r="B21" s="34"/>
      <c r="C21" s="34"/>
      <c r="D21" s="34"/>
      <c r="E21" s="34"/>
      <c r="F21" s="34"/>
      <c r="G21" s="34"/>
    </row>
    <row r="22" spans="1:7" x14ac:dyDescent="0.2">
      <c r="A22" s="27" t="s">
        <v>40</v>
      </c>
      <c r="B22" s="35">
        <f>B19-B20</f>
        <v>1554918.1738</v>
      </c>
      <c r="C22" s="35">
        <f t="shared" ref="C22:F22" si="4">C19-C20</f>
        <v>1254891.1320000002</v>
      </c>
      <c r="D22" s="35">
        <f t="shared" si="4"/>
        <v>1317109.8631599999</v>
      </c>
      <c r="E22" s="35">
        <f t="shared" si="4"/>
        <v>1474268.6525000001</v>
      </c>
      <c r="F22" s="35">
        <f t="shared" si="4"/>
        <v>1814905.3449600001</v>
      </c>
      <c r="G22" s="35">
        <f t="shared" ref="G22" si="5">G19-G20</f>
        <v>1853878.8218400001</v>
      </c>
    </row>
    <row r="23" spans="1:7" x14ac:dyDescent="0.2">
      <c r="B23" s="30"/>
      <c r="C23" s="30"/>
      <c r="D23" s="30"/>
      <c r="E23" s="30"/>
      <c r="F23" s="30"/>
      <c r="G23" s="30"/>
    </row>
    <row r="24" spans="1:7" x14ac:dyDescent="0.2">
      <c r="A24" s="27" t="s">
        <v>41</v>
      </c>
      <c r="B24" s="34">
        <v>55457.8</v>
      </c>
      <c r="C24" s="34">
        <v>297564.25</v>
      </c>
      <c r="D24" s="34">
        <v>171318.74</v>
      </c>
      <c r="E24" s="34">
        <v>86014.8</v>
      </c>
      <c r="F24" s="34">
        <v>80378.100000000006</v>
      </c>
      <c r="G24" s="34">
        <v>80378.100000000006</v>
      </c>
    </row>
    <row r="25" spans="1:7" x14ac:dyDescent="0.2">
      <c r="A25" s="27" t="s">
        <v>39</v>
      </c>
      <c r="B25" s="34"/>
      <c r="C25" s="34">
        <v>232.99</v>
      </c>
      <c r="D25" s="34"/>
      <c r="E25" s="34"/>
      <c r="F25" s="34">
        <v>14426.68</v>
      </c>
      <c r="G25" s="34">
        <v>14426.68</v>
      </c>
    </row>
    <row r="26" spans="1:7" x14ac:dyDescent="0.2">
      <c r="A26" s="27" t="s">
        <v>42</v>
      </c>
      <c r="B26" s="36"/>
      <c r="C26" s="35">
        <f>C24-C25</f>
        <v>297331.26</v>
      </c>
      <c r="D26" s="35">
        <f t="shared" ref="D26:F26" si="6">D24-D25</f>
        <v>171318.74</v>
      </c>
      <c r="E26" s="35">
        <f t="shared" si="6"/>
        <v>86014.8</v>
      </c>
      <c r="F26" s="35">
        <f t="shared" si="6"/>
        <v>65951.420000000013</v>
      </c>
      <c r="G26" s="35">
        <f t="shared" ref="G26" si="7">G24-G25</f>
        <v>65951.420000000013</v>
      </c>
    </row>
    <row r="27" spans="1:7" ht="17" thickBot="1" x14ac:dyDescent="0.25">
      <c r="A27" s="28" t="s">
        <v>43</v>
      </c>
      <c r="B27" s="37">
        <f>SUM(B24,B22)</f>
        <v>1610375.9738</v>
      </c>
      <c r="C27" s="38">
        <f>SUM(C26,C22)</f>
        <v>1552222.3920000002</v>
      </c>
      <c r="D27" s="38">
        <f t="shared" ref="D27:F27" si="8">SUM(D26,D22)</f>
        <v>1488428.6031599999</v>
      </c>
      <c r="E27" s="38">
        <f t="shared" si="8"/>
        <v>1560283.4525000001</v>
      </c>
      <c r="F27" s="38">
        <f t="shared" si="8"/>
        <v>1880856.7649600001</v>
      </c>
      <c r="G27" s="38">
        <f t="shared" ref="G27" si="9">SUM(G26,G22)</f>
        <v>1919830.24184</v>
      </c>
    </row>
    <row r="28" spans="1:7" ht="17" thickTop="1" x14ac:dyDescent="0.2">
      <c r="A28" s="27" t="s">
        <v>44</v>
      </c>
      <c r="B28" s="27">
        <f>B9</f>
        <v>0.7026</v>
      </c>
      <c r="C28" s="27">
        <f t="shared" ref="C28:F28" si="10">C9</f>
        <v>0.69869999999999999</v>
      </c>
      <c r="D28" s="27">
        <f t="shared" si="10"/>
        <v>0.70289999999999997</v>
      </c>
      <c r="E28" s="27">
        <f t="shared" si="10"/>
        <v>0.65790000000000004</v>
      </c>
      <c r="F28" s="27">
        <f t="shared" si="10"/>
        <v>0.65790000000000004</v>
      </c>
      <c r="G28" s="27">
        <f t="shared" ref="G28" si="11">G9</f>
        <v>0.65790000000000004</v>
      </c>
    </row>
    <row r="30" spans="1:7" ht="17" thickBot="1" x14ac:dyDescent="0.25">
      <c r="A30" s="39" t="s">
        <v>45</v>
      </c>
      <c r="B30" s="40">
        <f>B28*B27</f>
        <v>1131450.1591918801</v>
      </c>
      <c r="C30" s="40">
        <f>C27*C28</f>
        <v>1084537.7852904</v>
      </c>
      <c r="D30" s="40">
        <f t="shared" ref="D30:F30" si="12">D27*D28</f>
        <v>1046216.4651611639</v>
      </c>
      <c r="E30" s="40">
        <f t="shared" si="12"/>
        <v>1026510.4833997502</v>
      </c>
      <c r="F30" s="40">
        <f t="shared" si="12"/>
        <v>1237415.6656671842</v>
      </c>
      <c r="G30" s="40">
        <f t="shared" ref="G30" si="13">G27*G28</f>
        <v>1263056.3161065362</v>
      </c>
    </row>
    <row r="31" spans="1:7" ht="17" thickTop="1" x14ac:dyDescent="0.2">
      <c r="A31" s="41" t="s">
        <v>46</v>
      </c>
      <c r="B31" s="30"/>
      <c r="C31" s="30"/>
      <c r="D31" s="30"/>
      <c r="E31" s="30"/>
      <c r="F31" s="30"/>
      <c r="G31" s="30"/>
    </row>
    <row r="32" spans="1:7" x14ac:dyDescent="0.2">
      <c r="A32" s="42" t="s">
        <v>47</v>
      </c>
      <c r="B32" s="30"/>
      <c r="C32" s="30"/>
      <c r="D32" s="30"/>
      <c r="E32" s="30"/>
      <c r="F32" s="30"/>
      <c r="G32" s="30"/>
    </row>
    <row r="33" spans="1:7" x14ac:dyDescent="0.2">
      <c r="A33" s="27" t="s">
        <v>48</v>
      </c>
      <c r="B33" s="30">
        <v>6856.97</v>
      </c>
      <c r="C33" s="30">
        <v>7668.02</v>
      </c>
      <c r="D33" s="30">
        <v>2625.73</v>
      </c>
      <c r="E33" s="30">
        <v>1432.03</v>
      </c>
      <c r="F33" s="30">
        <v>3312.52</v>
      </c>
      <c r="G33" s="30">
        <v>3312.52</v>
      </c>
    </row>
    <row r="34" spans="1:7" x14ac:dyDescent="0.2">
      <c r="A34" s="27" t="s">
        <v>49</v>
      </c>
      <c r="B34" s="30">
        <v>2305.83</v>
      </c>
      <c r="C34" s="30">
        <v>2739.87</v>
      </c>
      <c r="D34" s="30">
        <v>921.43</v>
      </c>
      <c r="E34" s="30">
        <v>901.04</v>
      </c>
      <c r="F34" s="30">
        <v>904.15</v>
      </c>
      <c r="G34" s="30">
        <v>904.15</v>
      </c>
    </row>
    <row r="35" spans="1:7" x14ac:dyDescent="0.2">
      <c r="A35" s="27" t="s">
        <v>50</v>
      </c>
      <c r="B35" s="35">
        <v>1620.08</v>
      </c>
      <c r="C35" s="35">
        <v>1914.35</v>
      </c>
      <c r="D35" s="35">
        <v>647.66999999999996</v>
      </c>
      <c r="E35" s="35">
        <v>592.79</v>
      </c>
      <c r="F35" s="35">
        <v>594.84</v>
      </c>
      <c r="G35" s="35">
        <v>594.84</v>
      </c>
    </row>
    <row r="36" spans="1:7" x14ac:dyDescent="0.2">
      <c r="A36" s="27" t="s">
        <v>51</v>
      </c>
      <c r="B36" s="43">
        <v>5236.8900000000003</v>
      </c>
      <c r="C36" s="43">
        <v>5753.67</v>
      </c>
      <c r="D36" s="43">
        <v>1978.06</v>
      </c>
      <c r="E36" s="43">
        <v>839.24</v>
      </c>
      <c r="F36" s="43">
        <v>2717.68</v>
      </c>
      <c r="G36" s="43">
        <v>2717.68</v>
      </c>
    </row>
    <row r="38" spans="1:7" x14ac:dyDescent="0.2">
      <c r="A38" s="42" t="s">
        <v>52</v>
      </c>
    </row>
    <row r="39" spans="1:7" x14ac:dyDescent="0.2">
      <c r="A39" s="27" t="s">
        <v>49</v>
      </c>
    </row>
    <row r="40" spans="1:7" x14ac:dyDescent="0.2">
      <c r="A40" s="27" t="s">
        <v>53</v>
      </c>
      <c r="B40" s="32"/>
      <c r="C40" s="32"/>
      <c r="D40" s="32"/>
      <c r="E40" s="32"/>
      <c r="F40" s="32"/>
      <c r="G40" s="32"/>
    </row>
    <row r="41" spans="1:7" x14ac:dyDescent="0.2">
      <c r="A41" s="42" t="s">
        <v>54</v>
      </c>
    </row>
    <row r="42" spans="1:7" x14ac:dyDescent="0.2">
      <c r="A42" s="27" t="s">
        <v>43</v>
      </c>
      <c r="B42" s="44">
        <f>B30+B35</f>
        <v>1133070.2391918802</v>
      </c>
      <c r="C42" s="44">
        <f t="shared" ref="C42:F42" si="14">C30+C35</f>
        <v>1086452.1352904001</v>
      </c>
      <c r="D42" s="44">
        <f t="shared" si="14"/>
        <v>1046864.135161164</v>
      </c>
      <c r="E42" s="44">
        <f t="shared" si="14"/>
        <v>1027103.2733997502</v>
      </c>
      <c r="F42" s="44">
        <f t="shared" si="14"/>
        <v>1238010.5056671842</v>
      </c>
      <c r="G42" s="44">
        <f t="shared" ref="G42" si="15">G30+G35</f>
        <v>1263651.1561065363</v>
      </c>
    </row>
    <row r="43" spans="1:7" x14ac:dyDescent="0.2">
      <c r="A43" s="27" t="s">
        <v>54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</row>
    <row r="44" spans="1:7" x14ac:dyDescent="0.2">
      <c r="A44" s="27" t="s">
        <v>55</v>
      </c>
      <c r="B44" s="46">
        <v>39196.400000000001</v>
      </c>
      <c r="C44" s="46">
        <v>32376.959999999999</v>
      </c>
      <c r="D44" s="46">
        <v>35700</v>
      </c>
      <c r="E44" s="46">
        <v>34300</v>
      </c>
      <c r="F44" s="46">
        <v>38500</v>
      </c>
      <c r="G44" s="46">
        <v>38500</v>
      </c>
    </row>
    <row r="45" spans="1:7" x14ac:dyDescent="0.2">
      <c r="B45" s="44"/>
      <c r="C45" s="44"/>
      <c r="D45" s="44"/>
      <c r="E45" s="44"/>
      <c r="F45" s="44"/>
      <c r="G45" s="44"/>
    </row>
    <row r="46" spans="1:7" ht="17" thickBot="1" x14ac:dyDescent="0.25">
      <c r="A46" s="27" t="s">
        <v>56</v>
      </c>
      <c r="B46" s="47">
        <f>SUM(B44,B30)</f>
        <v>1170646.55919188</v>
      </c>
      <c r="C46" s="47">
        <f t="shared" ref="C46:F46" si="16">SUM(C44,C30)</f>
        <v>1116914.7452904</v>
      </c>
      <c r="D46" s="47">
        <f t="shared" si="16"/>
        <v>1081916.4651611638</v>
      </c>
      <c r="E46" s="47">
        <f t="shared" si="16"/>
        <v>1060810.4833997502</v>
      </c>
      <c r="F46" s="47">
        <f t="shared" si="16"/>
        <v>1275915.6656671842</v>
      </c>
      <c r="G46" s="47">
        <f t="shared" ref="G46" si="17">SUM(G44,G30)</f>
        <v>1301556.3161065362</v>
      </c>
    </row>
    <row r="47" spans="1:7" ht="17" thickTop="1" x14ac:dyDescent="0.2"/>
    <row r="48" spans="1:7" x14ac:dyDescent="0.2">
      <c r="A48" s="27" t="s">
        <v>57</v>
      </c>
      <c r="B48" s="48">
        <v>320</v>
      </c>
      <c r="C48" s="48">
        <v>264</v>
      </c>
      <c r="D48" s="48">
        <v>381</v>
      </c>
      <c r="E48" s="48">
        <f>157</f>
        <v>157</v>
      </c>
      <c r="F48" s="48">
        <f>286</f>
        <v>286</v>
      </c>
      <c r="G48" s="48">
        <f>286</f>
        <v>286</v>
      </c>
    </row>
    <row r="49" spans="1:8" x14ac:dyDescent="0.2">
      <c r="A49" s="27" t="s">
        <v>58</v>
      </c>
      <c r="B49" s="48">
        <v>21</v>
      </c>
      <c r="C49" s="48">
        <v>11</v>
      </c>
      <c r="D49" s="48">
        <v>97</v>
      </c>
      <c r="E49" s="48">
        <v>26</v>
      </c>
      <c r="F49" s="48">
        <v>26</v>
      </c>
      <c r="G49" s="48">
        <v>26</v>
      </c>
    </row>
    <row r="50" spans="1:8" x14ac:dyDescent="0.2">
      <c r="A50" s="27" t="s">
        <v>59</v>
      </c>
      <c r="B50" s="49">
        <v>385</v>
      </c>
      <c r="C50" s="49">
        <v>385</v>
      </c>
      <c r="D50" s="49">
        <v>385</v>
      </c>
      <c r="E50" s="49">
        <v>385</v>
      </c>
      <c r="F50" s="49">
        <v>385</v>
      </c>
      <c r="G50" s="49">
        <v>385</v>
      </c>
    </row>
    <row r="51" spans="1:8" ht="17" thickBot="1" x14ac:dyDescent="0.25">
      <c r="A51" s="27" t="s">
        <v>60</v>
      </c>
      <c r="B51" s="40">
        <f>SUM(B48:B49)*B50</f>
        <v>131285</v>
      </c>
      <c r="C51" s="40">
        <f t="shared" ref="C51:F51" si="18">SUM(C48:C49)*C50</f>
        <v>105875</v>
      </c>
      <c r="D51" s="40">
        <f t="shared" si="18"/>
        <v>184030</v>
      </c>
      <c r="E51" s="40">
        <f t="shared" si="18"/>
        <v>70455</v>
      </c>
      <c r="F51" s="40">
        <f t="shared" si="18"/>
        <v>120120</v>
      </c>
      <c r="G51" s="40">
        <f t="shared" ref="G51" si="19">SUM(G48:G49)*G50</f>
        <v>120120</v>
      </c>
    </row>
    <row r="52" spans="1:8" ht="17" thickTop="1" x14ac:dyDescent="0.2"/>
    <row r="53" spans="1:8" x14ac:dyDescent="0.2">
      <c r="A53" s="28" t="s">
        <v>60</v>
      </c>
      <c r="B53" s="31">
        <f>SUM(B46,B51)</f>
        <v>1301931.55919188</v>
      </c>
      <c r="C53" s="31">
        <f t="shared" ref="C53:F53" si="20">SUM(C46,C51)</f>
        <v>1222789.7452904</v>
      </c>
      <c r="D53" s="31">
        <f t="shared" si="20"/>
        <v>1265946.4651611638</v>
      </c>
      <c r="E53" s="31">
        <f t="shared" si="20"/>
        <v>1131265.4833997502</v>
      </c>
      <c r="F53" s="31">
        <f t="shared" si="20"/>
        <v>1396035.6656671842</v>
      </c>
      <c r="G53" s="31">
        <f t="shared" ref="G53" si="21">SUM(G46,G51)</f>
        <v>1421676.3161065362</v>
      </c>
      <c r="H53" s="6"/>
    </row>
    <row r="54" spans="1:8" x14ac:dyDescent="0.2">
      <c r="H54" s="6"/>
    </row>
    <row r="55" spans="1:8" x14ac:dyDescent="0.2">
      <c r="A55" s="28" t="s">
        <v>77</v>
      </c>
      <c r="C55" s="31"/>
      <c r="F55" s="36">
        <f>72*385</f>
        <v>27720</v>
      </c>
      <c r="G55" s="36"/>
    </row>
    <row r="56" spans="1:8" ht="17" thickBot="1" x14ac:dyDescent="0.25">
      <c r="A56" s="28" t="s">
        <v>78</v>
      </c>
      <c r="C56" s="31"/>
      <c r="F56" s="51">
        <f>SUM(F53,F55)</f>
        <v>1423755.6656671842</v>
      </c>
      <c r="G56" s="51">
        <f>SUM(G53,G55)</f>
        <v>1421676.3161065362</v>
      </c>
    </row>
    <row r="57" spans="1:8" ht="17" thickTop="1" x14ac:dyDescent="0.2">
      <c r="C57" s="31"/>
      <c r="F57" s="50"/>
      <c r="G57" s="50"/>
    </row>
    <row r="58" spans="1:8" x14ac:dyDescent="0.2">
      <c r="A58" s="28" t="s">
        <v>76</v>
      </c>
      <c r="F58" s="52">
        <f>F53-E53</f>
        <v>264770.18226743396</v>
      </c>
      <c r="G58" s="52">
        <f>G53-F53</f>
        <v>25640.65043935203</v>
      </c>
    </row>
    <row r="59" spans="1:8" x14ac:dyDescent="0.2">
      <c r="A59" s="28" t="s">
        <v>79</v>
      </c>
      <c r="F59" s="50">
        <f>F58+F55</f>
        <v>292490.18226743396</v>
      </c>
      <c r="G59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1" sqref="D21"/>
    </sheetView>
  </sheetViews>
  <sheetFormatPr baseColWidth="10" defaultRowHeight="16" x14ac:dyDescent="0.2"/>
  <cols>
    <col min="1" max="1" width="33.6640625" customWidth="1"/>
    <col min="2" max="2" width="14.5" style="6" customWidth="1"/>
    <col min="3" max="3" width="13.1640625" customWidth="1"/>
    <col min="4" max="4" width="16.33203125" style="6" customWidth="1"/>
  </cols>
  <sheetData>
    <row r="1" spans="1:4" x14ac:dyDescent="0.2">
      <c r="B1" s="6" t="s">
        <v>61</v>
      </c>
      <c r="C1" t="s">
        <v>37</v>
      </c>
      <c r="D1" s="6" t="s">
        <v>64</v>
      </c>
    </row>
    <row r="2" spans="1:4" x14ac:dyDescent="0.2">
      <c r="A2" t="s">
        <v>62</v>
      </c>
      <c r="B2" s="6">
        <f>'owed allowance'!V58</f>
        <v>332316.08587000013</v>
      </c>
      <c r="C2">
        <v>5.681</v>
      </c>
      <c r="D2" s="6">
        <f>B2*C2</f>
        <v>1887887.6838274708</v>
      </c>
    </row>
    <row r="3" spans="1:4" x14ac:dyDescent="0.2">
      <c r="A3" t="s">
        <v>63</v>
      </c>
      <c r="B3" s="25">
        <f>'contractor allowance'!V9</f>
        <v>15299.0072</v>
      </c>
      <c r="C3">
        <v>5.681</v>
      </c>
      <c r="D3" s="25">
        <f>B3*C3</f>
        <v>86913.659903199994</v>
      </c>
    </row>
    <row r="4" spans="1:4" x14ac:dyDescent="0.2">
      <c r="B4" s="6">
        <f>SUM(B2:B3)</f>
        <v>347615.09307000012</v>
      </c>
      <c r="D4" s="6">
        <f>SUM(D2:D3)</f>
        <v>1974801.3437306709</v>
      </c>
    </row>
    <row r="6" spans="1:4" x14ac:dyDescent="0.2">
      <c r="A6" t="s">
        <v>65</v>
      </c>
      <c r="B6" s="6">
        <f>D4</f>
        <v>1974801.3437306709</v>
      </c>
    </row>
    <row r="7" spans="1:4" x14ac:dyDescent="0.2">
      <c r="A7" t="s">
        <v>66</v>
      </c>
      <c r="B7" s="6">
        <f>B6*0.6497</f>
        <v>1283028.4330218169</v>
      </c>
    </row>
    <row r="8" spans="1:4" x14ac:dyDescent="0.2">
      <c r="A8" t="s">
        <v>67</v>
      </c>
      <c r="B8" s="26">
        <f>(8*300*180)/17880300</f>
        <v>2.4160668445160315E-2</v>
      </c>
    </row>
    <row r="9" spans="1:4" x14ac:dyDescent="0.2">
      <c r="A9" t="s">
        <v>68</v>
      </c>
      <c r="B9" s="25">
        <f>B8*B6</f>
        <v>47712.520510933806</v>
      </c>
    </row>
    <row r="10" spans="1:4" x14ac:dyDescent="0.2">
      <c r="A10" t="s">
        <v>69</v>
      </c>
      <c r="B10" s="6">
        <f>B7-B9</f>
        <v>1235315.9125108831</v>
      </c>
      <c r="D10" s="6">
        <v>1275915</v>
      </c>
    </row>
    <row r="12" spans="1:4" x14ac:dyDescent="0.2">
      <c r="A12" t="s">
        <v>70</v>
      </c>
    </row>
    <row r="13" spans="1:4" x14ac:dyDescent="0.2">
      <c r="A13" t="s">
        <v>71</v>
      </c>
      <c r="B13" s="25">
        <f>300*385</f>
        <v>115500</v>
      </c>
      <c r="D13" s="6">
        <v>120120</v>
      </c>
    </row>
    <row r="14" spans="1:4" x14ac:dyDescent="0.2">
      <c r="A14" t="s">
        <v>72</v>
      </c>
      <c r="B14" s="6">
        <f>SUM(B10,B13)</f>
        <v>1350815.9125108831</v>
      </c>
    </row>
    <row r="16" spans="1:4" x14ac:dyDescent="0.2">
      <c r="A16" t="s">
        <v>73</v>
      </c>
      <c r="B16" s="25">
        <v>69526</v>
      </c>
    </row>
    <row r="18" spans="1:4" x14ac:dyDescent="0.2">
      <c r="A18" t="s">
        <v>74</v>
      </c>
      <c r="B18" s="6">
        <f>SUM(B14,B16)</f>
        <v>1420341.9125108831</v>
      </c>
      <c r="D18" s="6">
        <f>SUM(D10:D13)</f>
        <v>1396035</v>
      </c>
    </row>
    <row r="21" spans="1:4" x14ac:dyDescent="0.2">
      <c r="A21" t="s">
        <v>75</v>
      </c>
      <c r="B21" s="6">
        <f>'estimated owed'!B18-'trans subsidy actual'!E53</f>
        <v>289076.42911113286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A20" sqref="A1:XFD1048576"/>
    </sheetView>
  </sheetViews>
  <sheetFormatPr baseColWidth="10" defaultRowHeight="16" x14ac:dyDescent="0.2"/>
  <cols>
    <col min="2" max="2" width="8.5" customWidth="1"/>
    <col min="3" max="4" width="7.83203125" customWidth="1"/>
    <col min="7" max="7" width="8.1640625" hidden="1" customWidth="1"/>
    <col min="8" max="8" width="11.33203125" customWidth="1"/>
    <col min="9" max="9" width="12.5" style="10" customWidth="1"/>
    <col min="10" max="10" width="10.1640625" style="16" customWidth="1"/>
    <col min="11" max="11" width="10.1640625" style="10" customWidth="1"/>
    <col min="12" max="12" width="7" style="13" hidden="1" customWidth="1"/>
    <col min="13" max="13" width="10.1640625" style="16" customWidth="1"/>
    <col min="14" max="15" width="10.1640625" style="10" customWidth="1"/>
    <col min="16" max="16" width="9.5" style="19" customWidth="1"/>
    <col min="17" max="17" width="9.5" style="7" customWidth="1"/>
    <col min="18" max="18" width="9.5" style="21" customWidth="1"/>
    <col min="19" max="19" width="12.5" style="19" customWidth="1"/>
    <col min="20" max="20" width="9.1640625" style="7" customWidth="1"/>
    <col min="21" max="21" width="12.33203125" style="19" customWidth="1"/>
    <col min="22" max="22" width="11.5" style="7" customWidth="1"/>
  </cols>
  <sheetData>
    <row r="1" spans="1:22" ht="30" x14ac:dyDescent="0.2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5</v>
      </c>
      <c r="I1" s="8" t="s">
        <v>11</v>
      </c>
      <c r="J1" s="14" t="s">
        <v>6</v>
      </c>
      <c r="K1" s="8" t="s">
        <v>12</v>
      </c>
      <c r="L1" s="11"/>
      <c r="M1" s="14" t="s">
        <v>12</v>
      </c>
      <c r="N1" s="8" t="s">
        <v>13</v>
      </c>
      <c r="O1" s="8" t="s">
        <v>14</v>
      </c>
      <c r="P1" s="17" t="s">
        <v>7</v>
      </c>
      <c r="Q1" s="2"/>
      <c r="R1" s="20" t="s">
        <v>15</v>
      </c>
      <c r="S1" s="17" t="s">
        <v>8</v>
      </c>
      <c r="T1" s="2"/>
      <c r="U1" s="17" t="s">
        <v>9</v>
      </c>
      <c r="V1" s="2" t="s">
        <v>10</v>
      </c>
    </row>
    <row r="2" spans="1:22" x14ac:dyDescent="0.2">
      <c r="A2" s="3">
        <v>100</v>
      </c>
      <c r="B2" s="3">
        <v>1</v>
      </c>
      <c r="C2" s="3">
        <f>IF(N2&lt;20,N2/20,1)</f>
        <v>1</v>
      </c>
      <c r="D2" s="3"/>
      <c r="E2" s="3"/>
      <c r="F2" s="3">
        <v>1</v>
      </c>
      <c r="G2" s="3">
        <f>B2*C2*E2*F2</f>
        <v>0</v>
      </c>
      <c r="H2" s="3">
        <f t="shared" ref="H2" si="0">IF(G2&gt;0,G2,1)</f>
        <v>1</v>
      </c>
      <c r="I2" s="9">
        <v>72</v>
      </c>
      <c r="J2" s="15">
        <f>IF(I2&gt;10,540,360)</f>
        <v>540</v>
      </c>
      <c r="K2" s="9">
        <v>2011</v>
      </c>
      <c r="L2" s="12">
        <f>2017-K2</f>
        <v>6</v>
      </c>
      <c r="M2" s="15">
        <f>IF(L2&gt;10,12*I2,15*I2)</f>
        <v>1080</v>
      </c>
      <c r="N2" s="9">
        <v>84.6</v>
      </c>
      <c r="O2" s="9">
        <v>180</v>
      </c>
      <c r="P2" s="18">
        <f>N2*O2*0.23</f>
        <v>3502.4399999999996</v>
      </c>
      <c r="Q2" s="4">
        <f>N2*O2</f>
        <v>15227.999999999998</v>
      </c>
      <c r="R2" s="5">
        <v>59.3</v>
      </c>
      <c r="S2" s="18">
        <f>Q2*R2*3/1000</f>
        <v>2709.0611999999996</v>
      </c>
      <c r="T2" s="4">
        <v>0</v>
      </c>
      <c r="U2" s="18">
        <v>0</v>
      </c>
      <c r="V2" s="4">
        <f>SUM(J2,M2,P2,S2,U2)</f>
        <v>7831.5011999999988</v>
      </c>
    </row>
    <row r="3" spans="1:22" x14ac:dyDescent="0.2">
      <c r="A3" s="3">
        <v>101</v>
      </c>
      <c r="B3" s="3">
        <v>1</v>
      </c>
      <c r="C3" s="3">
        <f t="shared" ref="C3:C19" si="1">IF(N3&lt;20,N3/20,1)</f>
        <v>1</v>
      </c>
      <c r="D3" s="3"/>
      <c r="E3" s="3"/>
      <c r="F3" s="3">
        <v>1</v>
      </c>
      <c r="G3" s="3">
        <f t="shared" ref="G3:G19" si="2">B3*C3*E3*F3</f>
        <v>0</v>
      </c>
      <c r="H3" s="3">
        <f t="shared" ref="H3:H19" si="3">IF(G3&gt;0,G3,1)</f>
        <v>1</v>
      </c>
      <c r="I3" s="9">
        <v>72</v>
      </c>
      <c r="J3" s="15">
        <f t="shared" ref="J3:J56" si="4">IF(I3&gt;10,540,360)</f>
        <v>540</v>
      </c>
      <c r="K3" s="9">
        <v>2011</v>
      </c>
      <c r="L3" s="12">
        <f t="shared" ref="L3:L56" si="5">2017-K3</f>
        <v>6</v>
      </c>
      <c r="M3" s="15">
        <f t="shared" ref="M3:M19" si="6">IF(L3&gt;10,12*I3,15*I3)</f>
        <v>1080</v>
      </c>
      <c r="N3" s="9">
        <v>96.6</v>
      </c>
      <c r="O3" s="9">
        <v>180</v>
      </c>
      <c r="P3" s="18">
        <f t="shared" ref="P3:P19" si="7">N3*O3*0.23</f>
        <v>3999.2400000000002</v>
      </c>
      <c r="Q3" s="4">
        <f t="shared" ref="Q3:Q19" si="8">N3*O3</f>
        <v>17388</v>
      </c>
      <c r="R3" s="5">
        <v>66</v>
      </c>
      <c r="S3" s="18">
        <f t="shared" ref="S3:S19" si="9">Q3*R3*3/1000</f>
        <v>3442.8240000000001</v>
      </c>
      <c r="T3" s="4">
        <v>0</v>
      </c>
      <c r="U3" s="18">
        <v>0</v>
      </c>
      <c r="V3" s="4">
        <f t="shared" ref="V3:V19" si="10">SUM(J3,M3,P3,S3,U3)</f>
        <v>9062.0640000000003</v>
      </c>
    </row>
    <row r="4" spans="1:22" x14ac:dyDescent="0.2">
      <c r="A4" s="3">
        <v>102</v>
      </c>
      <c r="B4" s="3">
        <v>1</v>
      </c>
      <c r="C4" s="3">
        <f t="shared" si="1"/>
        <v>1</v>
      </c>
      <c r="D4" s="3"/>
      <c r="E4" s="3"/>
      <c r="F4" s="3">
        <v>1</v>
      </c>
      <c r="G4" s="3">
        <f t="shared" si="2"/>
        <v>0</v>
      </c>
      <c r="H4" s="3">
        <f t="shared" si="3"/>
        <v>1</v>
      </c>
      <c r="I4" s="9">
        <v>72</v>
      </c>
      <c r="J4" s="15">
        <f t="shared" si="4"/>
        <v>540</v>
      </c>
      <c r="K4" s="9">
        <v>2013</v>
      </c>
      <c r="L4" s="12">
        <f t="shared" si="5"/>
        <v>4</v>
      </c>
      <c r="M4" s="15">
        <f t="shared" si="6"/>
        <v>1080</v>
      </c>
      <c r="N4" s="9">
        <v>55.5</v>
      </c>
      <c r="O4" s="9">
        <v>180</v>
      </c>
      <c r="P4" s="18">
        <f t="shared" si="7"/>
        <v>2297.7000000000003</v>
      </c>
      <c r="Q4" s="4">
        <f t="shared" si="8"/>
        <v>9990</v>
      </c>
      <c r="R4" s="5">
        <v>55.3</v>
      </c>
      <c r="S4" s="18">
        <f t="shared" si="9"/>
        <v>1657.3409999999999</v>
      </c>
      <c r="T4" s="4">
        <v>0</v>
      </c>
      <c r="U4" s="18">
        <v>0</v>
      </c>
      <c r="V4" s="4">
        <f t="shared" si="10"/>
        <v>5575.0410000000002</v>
      </c>
    </row>
    <row r="5" spans="1:22" x14ac:dyDescent="0.2">
      <c r="A5" s="3">
        <v>103</v>
      </c>
      <c r="B5" s="3">
        <v>1</v>
      </c>
      <c r="C5" s="3">
        <f t="shared" si="1"/>
        <v>1</v>
      </c>
      <c r="D5" s="3"/>
      <c r="E5" s="3"/>
      <c r="F5" s="3">
        <v>1</v>
      </c>
      <c r="G5" s="3">
        <f t="shared" si="2"/>
        <v>0</v>
      </c>
      <c r="H5" s="3">
        <f t="shared" si="3"/>
        <v>1</v>
      </c>
      <c r="I5" s="9">
        <v>72</v>
      </c>
      <c r="J5" s="15">
        <f t="shared" si="4"/>
        <v>540</v>
      </c>
      <c r="K5" s="9">
        <v>2014</v>
      </c>
      <c r="L5" s="12">
        <f t="shared" si="5"/>
        <v>3</v>
      </c>
      <c r="M5" s="15">
        <f t="shared" si="6"/>
        <v>1080</v>
      </c>
      <c r="N5" s="9">
        <v>93</v>
      </c>
      <c r="O5" s="9">
        <v>180</v>
      </c>
      <c r="P5" s="18">
        <f t="shared" si="7"/>
        <v>3850.2000000000003</v>
      </c>
      <c r="Q5" s="4">
        <f t="shared" si="8"/>
        <v>16740</v>
      </c>
      <c r="R5" s="5">
        <v>47</v>
      </c>
      <c r="S5" s="18">
        <f t="shared" si="9"/>
        <v>2360.34</v>
      </c>
      <c r="T5" s="4">
        <v>0</v>
      </c>
      <c r="U5" s="18">
        <v>0</v>
      </c>
      <c r="V5" s="4">
        <f t="shared" si="10"/>
        <v>7830.5400000000009</v>
      </c>
    </row>
    <row r="6" spans="1:22" x14ac:dyDescent="0.2">
      <c r="A6" s="3">
        <v>104</v>
      </c>
      <c r="B6" s="3">
        <v>1</v>
      </c>
      <c r="C6" s="3">
        <f t="shared" si="1"/>
        <v>1</v>
      </c>
      <c r="D6" s="3"/>
      <c r="E6" s="3"/>
      <c r="F6" s="3">
        <v>1</v>
      </c>
      <c r="G6" s="3">
        <f t="shared" si="2"/>
        <v>0</v>
      </c>
      <c r="H6" s="3">
        <f t="shared" si="3"/>
        <v>1</v>
      </c>
      <c r="I6" s="9">
        <v>72</v>
      </c>
      <c r="J6" s="15">
        <f t="shared" si="4"/>
        <v>540</v>
      </c>
      <c r="K6" s="9">
        <v>2015</v>
      </c>
      <c r="L6" s="12">
        <f t="shared" si="5"/>
        <v>2</v>
      </c>
      <c r="M6" s="15">
        <f t="shared" si="6"/>
        <v>1080</v>
      </c>
      <c r="N6" s="9">
        <v>64.7</v>
      </c>
      <c r="O6" s="9">
        <v>180</v>
      </c>
      <c r="P6" s="18">
        <f t="shared" si="7"/>
        <v>2678.58</v>
      </c>
      <c r="Q6" s="4">
        <f t="shared" si="8"/>
        <v>11646</v>
      </c>
      <c r="R6" s="5">
        <v>57.5</v>
      </c>
      <c r="S6" s="18">
        <f t="shared" si="9"/>
        <v>2008.9349999999999</v>
      </c>
      <c r="T6" s="4">
        <v>0</v>
      </c>
      <c r="U6" s="18">
        <v>0</v>
      </c>
      <c r="V6" s="4">
        <f t="shared" si="10"/>
        <v>6307.5149999999994</v>
      </c>
    </row>
    <row r="7" spans="1:22" x14ac:dyDescent="0.2">
      <c r="A7" s="3">
        <v>105</v>
      </c>
      <c r="B7" s="3">
        <v>1</v>
      </c>
      <c r="C7" s="3">
        <f t="shared" si="1"/>
        <v>1</v>
      </c>
      <c r="D7" s="3"/>
      <c r="E7" s="3"/>
      <c r="F7" s="3">
        <v>1</v>
      </c>
      <c r="G7" s="3">
        <f t="shared" si="2"/>
        <v>0</v>
      </c>
      <c r="H7" s="3">
        <f t="shared" si="3"/>
        <v>1</v>
      </c>
      <c r="I7" s="9">
        <v>72</v>
      </c>
      <c r="J7" s="15">
        <f t="shared" si="4"/>
        <v>540</v>
      </c>
      <c r="K7" s="9">
        <v>2015</v>
      </c>
      <c r="L7" s="12">
        <f t="shared" si="5"/>
        <v>2</v>
      </c>
      <c r="M7" s="15">
        <f t="shared" si="6"/>
        <v>1080</v>
      </c>
      <c r="N7" s="9">
        <v>81.900000000000006</v>
      </c>
      <c r="O7" s="9">
        <v>180</v>
      </c>
      <c r="P7" s="18">
        <f t="shared" si="7"/>
        <v>3390.6600000000008</v>
      </c>
      <c r="Q7" s="4">
        <f t="shared" si="8"/>
        <v>14742.000000000002</v>
      </c>
      <c r="R7" s="5">
        <v>56.8</v>
      </c>
      <c r="S7" s="18">
        <f t="shared" si="9"/>
        <v>2512.0368000000003</v>
      </c>
      <c r="T7" s="4">
        <v>0</v>
      </c>
      <c r="U7" s="18">
        <v>0</v>
      </c>
      <c r="V7" s="4">
        <f t="shared" si="10"/>
        <v>7522.6968000000015</v>
      </c>
    </row>
    <row r="8" spans="1:22" x14ac:dyDescent="0.2">
      <c r="A8" s="3">
        <v>106</v>
      </c>
      <c r="B8" s="3">
        <v>1</v>
      </c>
      <c r="C8" s="3">
        <f t="shared" si="1"/>
        <v>1</v>
      </c>
      <c r="D8" s="3"/>
      <c r="E8" s="3"/>
      <c r="F8" s="3">
        <v>1</v>
      </c>
      <c r="G8" s="3">
        <f t="shared" si="2"/>
        <v>0</v>
      </c>
      <c r="H8" s="3">
        <f t="shared" si="3"/>
        <v>1</v>
      </c>
      <c r="I8" s="9">
        <v>72</v>
      </c>
      <c r="J8" s="15">
        <f t="shared" si="4"/>
        <v>540</v>
      </c>
      <c r="K8" s="9">
        <v>2017</v>
      </c>
      <c r="L8" s="12">
        <f t="shared" si="5"/>
        <v>0</v>
      </c>
      <c r="M8" s="15">
        <f t="shared" si="6"/>
        <v>1080</v>
      </c>
      <c r="N8" s="9">
        <v>92</v>
      </c>
      <c r="O8" s="9">
        <v>180</v>
      </c>
      <c r="P8" s="18">
        <f t="shared" si="7"/>
        <v>3808.8</v>
      </c>
      <c r="Q8" s="4">
        <f t="shared" si="8"/>
        <v>16560</v>
      </c>
      <c r="R8" s="5">
        <v>52</v>
      </c>
      <c r="S8" s="18">
        <f t="shared" si="9"/>
        <v>2583.36</v>
      </c>
      <c r="T8" s="4">
        <v>0</v>
      </c>
      <c r="U8" s="18">
        <v>0</v>
      </c>
      <c r="V8" s="4">
        <f t="shared" si="10"/>
        <v>8012.16</v>
      </c>
    </row>
    <row r="9" spans="1:22" x14ac:dyDescent="0.2">
      <c r="A9" s="3">
        <v>107</v>
      </c>
      <c r="B9" s="3">
        <v>1</v>
      </c>
      <c r="C9" s="3">
        <f t="shared" si="1"/>
        <v>1</v>
      </c>
      <c r="D9" s="3"/>
      <c r="E9" s="3"/>
      <c r="F9" s="3">
        <v>1</v>
      </c>
      <c r="G9" s="3">
        <f t="shared" si="2"/>
        <v>0</v>
      </c>
      <c r="H9" s="3">
        <f t="shared" si="3"/>
        <v>1</v>
      </c>
      <c r="I9" s="9">
        <v>72</v>
      </c>
      <c r="J9" s="15">
        <f t="shared" si="4"/>
        <v>540</v>
      </c>
      <c r="K9" s="9">
        <v>2016</v>
      </c>
      <c r="L9" s="12">
        <f t="shared" si="5"/>
        <v>1</v>
      </c>
      <c r="M9" s="15">
        <f t="shared" si="6"/>
        <v>1080</v>
      </c>
      <c r="N9" s="9">
        <v>59.4</v>
      </c>
      <c r="O9" s="9">
        <v>180</v>
      </c>
      <c r="P9" s="18">
        <f t="shared" si="7"/>
        <v>2459.1600000000003</v>
      </c>
      <c r="Q9" s="4">
        <f t="shared" si="8"/>
        <v>10692</v>
      </c>
      <c r="R9" s="5">
        <v>44.8</v>
      </c>
      <c r="S9" s="18">
        <f t="shared" si="9"/>
        <v>1437.0047999999997</v>
      </c>
      <c r="T9" s="4">
        <v>0</v>
      </c>
      <c r="U9" s="18">
        <v>0</v>
      </c>
      <c r="V9" s="4">
        <f t="shared" si="10"/>
        <v>5516.1648000000005</v>
      </c>
    </row>
    <row r="10" spans="1:22" x14ac:dyDescent="0.2">
      <c r="A10" s="3">
        <v>108</v>
      </c>
      <c r="B10" s="3">
        <v>1</v>
      </c>
      <c r="C10" s="3">
        <f t="shared" si="1"/>
        <v>1</v>
      </c>
      <c r="D10" s="3"/>
      <c r="E10" s="3"/>
      <c r="F10" s="3">
        <v>1</v>
      </c>
      <c r="G10" s="3">
        <f t="shared" si="2"/>
        <v>0</v>
      </c>
      <c r="H10" s="3">
        <f t="shared" si="3"/>
        <v>1</v>
      </c>
      <c r="I10" s="9">
        <v>72</v>
      </c>
      <c r="J10" s="15">
        <f t="shared" si="4"/>
        <v>540</v>
      </c>
      <c r="K10" s="9">
        <v>2016</v>
      </c>
      <c r="L10" s="12">
        <f t="shared" si="5"/>
        <v>1</v>
      </c>
      <c r="M10" s="15">
        <f t="shared" si="6"/>
        <v>1080</v>
      </c>
      <c r="N10" s="9">
        <v>64.7</v>
      </c>
      <c r="O10" s="9">
        <v>180</v>
      </c>
      <c r="P10" s="18">
        <f t="shared" si="7"/>
        <v>2678.58</v>
      </c>
      <c r="Q10" s="4">
        <f t="shared" si="8"/>
        <v>11646</v>
      </c>
      <c r="R10" s="5">
        <v>58.3</v>
      </c>
      <c r="S10" s="18">
        <f t="shared" si="9"/>
        <v>2036.8853999999999</v>
      </c>
      <c r="T10" s="4">
        <v>0</v>
      </c>
      <c r="U10" s="18">
        <v>0</v>
      </c>
      <c r="V10" s="4">
        <f t="shared" si="10"/>
        <v>6335.4654</v>
      </c>
    </row>
    <row r="11" spans="1:22" x14ac:dyDescent="0.2">
      <c r="A11" s="3">
        <v>109</v>
      </c>
      <c r="B11" s="3">
        <v>1</v>
      </c>
      <c r="C11" s="3">
        <f t="shared" si="1"/>
        <v>1</v>
      </c>
      <c r="D11" s="3"/>
      <c r="E11" s="3"/>
      <c r="F11" s="3">
        <v>1</v>
      </c>
      <c r="G11" s="3">
        <f t="shared" si="2"/>
        <v>0</v>
      </c>
      <c r="H11" s="3">
        <f t="shared" si="3"/>
        <v>1</v>
      </c>
      <c r="I11" s="9">
        <v>72</v>
      </c>
      <c r="J11" s="15">
        <f t="shared" si="4"/>
        <v>540</v>
      </c>
      <c r="K11" s="9">
        <v>2006</v>
      </c>
      <c r="L11" s="12">
        <f t="shared" si="5"/>
        <v>11</v>
      </c>
      <c r="M11" s="15">
        <f t="shared" si="6"/>
        <v>864</v>
      </c>
      <c r="N11" s="9">
        <v>72.5</v>
      </c>
      <c r="O11" s="9">
        <v>180</v>
      </c>
      <c r="P11" s="18">
        <f t="shared" si="7"/>
        <v>3001.5</v>
      </c>
      <c r="Q11" s="4">
        <f t="shared" si="8"/>
        <v>13050</v>
      </c>
      <c r="R11" s="5">
        <v>51.2</v>
      </c>
      <c r="S11" s="18">
        <f t="shared" si="9"/>
        <v>2004.48</v>
      </c>
      <c r="T11" s="4">
        <v>0</v>
      </c>
      <c r="U11" s="18">
        <v>0</v>
      </c>
      <c r="V11" s="4">
        <f t="shared" si="10"/>
        <v>6409.98</v>
      </c>
    </row>
    <row r="12" spans="1:22" x14ac:dyDescent="0.2">
      <c r="A12" s="3">
        <v>110</v>
      </c>
      <c r="B12" s="3">
        <v>1</v>
      </c>
      <c r="C12" s="3">
        <f t="shared" si="1"/>
        <v>1</v>
      </c>
      <c r="D12" s="3"/>
      <c r="E12" s="3"/>
      <c r="F12" s="3">
        <v>1</v>
      </c>
      <c r="G12" s="3">
        <f t="shared" si="2"/>
        <v>0</v>
      </c>
      <c r="H12" s="3">
        <f t="shared" si="3"/>
        <v>1</v>
      </c>
      <c r="I12" s="9">
        <v>72</v>
      </c>
      <c r="J12" s="15">
        <f t="shared" si="4"/>
        <v>540</v>
      </c>
      <c r="K12" s="9">
        <v>2006</v>
      </c>
      <c r="L12" s="12">
        <f t="shared" si="5"/>
        <v>11</v>
      </c>
      <c r="M12" s="15">
        <f t="shared" si="6"/>
        <v>864</v>
      </c>
      <c r="N12" s="9">
        <v>51.1</v>
      </c>
      <c r="O12" s="9">
        <v>180</v>
      </c>
      <c r="P12" s="18">
        <f t="shared" si="7"/>
        <v>2115.54</v>
      </c>
      <c r="Q12" s="4">
        <f t="shared" si="8"/>
        <v>9198</v>
      </c>
      <c r="R12" s="5">
        <v>53.8</v>
      </c>
      <c r="S12" s="18">
        <f t="shared" si="9"/>
        <v>1484.5572</v>
      </c>
      <c r="T12" s="4">
        <v>0</v>
      </c>
      <c r="U12" s="18">
        <v>0</v>
      </c>
      <c r="V12" s="4">
        <f t="shared" si="10"/>
        <v>5004.0972000000002</v>
      </c>
    </row>
    <row r="13" spans="1:22" x14ac:dyDescent="0.2">
      <c r="A13" s="3">
        <v>111</v>
      </c>
      <c r="B13" s="3">
        <v>1</v>
      </c>
      <c r="C13" s="3">
        <f t="shared" si="1"/>
        <v>1</v>
      </c>
      <c r="D13" s="3"/>
      <c r="E13" s="3"/>
      <c r="F13" s="3">
        <v>1</v>
      </c>
      <c r="G13" s="3">
        <f t="shared" si="2"/>
        <v>0</v>
      </c>
      <c r="H13" s="3">
        <f t="shared" si="3"/>
        <v>1</v>
      </c>
      <c r="I13" s="9">
        <v>72</v>
      </c>
      <c r="J13" s="15">
        <f t="shared" si="4"/>
        <v>540</v>
      </c>
      <c r="K13" s="9">
        <v>2006</v>
      </c>
      <c r="L13" s="12">
        <f t="shared" si="5"/>
        <v>11</v>
      </c>
      <c r="M13" s="15">
        <f t="shared" si="6"/>
        <v>864</v>
      </c>
      <c r="N13" s="9">
        <v>66.5</v>
      </c>
      <c r="O13" s="9">
        <v>180</v>
      </c>
      <c r="P13" s="18">
        <f t="shared" si="7"/>
        <v>2753.1</v>
      </c>
      <c r="Q13" s="4">
        <f t="shared" si="8"/>
        <v>11970</v>
      </c>
      <c r="R13" s="5">
        <v>51</v>
      </c>
      <c r="S13" s="18">
        <f t="shared" si="9"/>
        <v>1831.41</v>
      </c>
      <c r="T13" s="4">
        <v>0</v>
      </c>
      <c r="U13" s="18">
        <v>0</v>
      </c>
      <c r="V13" s="4">
        <f t="shared" si="10"/>
        <v>5988.51</v>
      </c>
    </row>
    <row r="14" spans="1:22" x14ac:dyDescent="0.2">
      <c r="A14" s="3">
        <v>112</v>
      </c>
      <c r="B14" s="3">
        <v>1</v>
      </c>
      <c r="C14" s="3">
        <f t="shared" si="1"/>
        <v>1</v>
      </c>
      <c r="D14" s="3"/>
      <c r="E14" s="3"/>
      <c r="F14" s="3">
        <v>1</v>
      </c>
      <c r="G14" s="3">
        <f t="shared" si="2"/>
        <v>0</v>
      </c>
      <c r="H14" s="3">
        <f t="shared" si="3"/>
        <v>1</v>
      </c>
      <c r="I14" s="9">
        <v>72</v>
      </c>
      <c r="J14" s="15">
        <f t="shared" si="4"/>
        <v>540</v>
      </c>
      <c r="K14" s="9">
        <v>2006</v>
      </c>
      <c r="L14" s="12">
        <f t="shared" si="5"/>
        <v>11</v>
      </c>
      <c r="M14" s="15">
        <f t="shared" si="6"/>
        <v>864</v>
      </c>
      <c r="N14" s="9">
        <v>29.2</v>
      </c>
      <c r="O14" s="9">
        <v>180</v>
      </c>
      <c r="P14" s="18">
        <f t="shared" si="7"/>
        <v>1208.8800000000001</v>
      </c>
      <c r="Q14" s="4">
        <f t="shared" si="8"/>
        <v>5256</v>
      </c>
      <c r="R14" s="5">
        <v>43</v>
      </c>
      <c r="S14" s="18">
        <f t="shared" si="9"/>
        <v>678.024</v>
      </c>
      <c r="T14" s="4">
        <v>0</v>
      </c>
      <c r="U14" s="18">
        <v>0</v>
      </c>
      <c r="V14" s="4">
        <f t="shared" si="10"/>
        <v>3290.904</v>
      </c>
    </row>
    <row r="15" spans="1:22" x14ac:dyDescent="0.2">
      <c r="A15" s="3">
        <v>113</v>
      </c>
      <c r="B15" s="3">
        <v>1</v>
      </c>
      <c r="C15" s="3">
        <f t="shared" si="1"/>
        <v>1</v>
      </c>
      <c r="D15" s="3"/>
      <c r="E15" s="3"/>
      <c r="F15" s="3">
        <v>1</v>
      </c>
      <c r="G15" s="3">
        <f t="shared" si="2"/>
        <v>0</v>
      </c>
      <c r="H15" s="3">
        <f t="shared" si="3"/>
        <v>1</v>
      </c>
      <c r="I15" s="9">
        <v>72</v>
      </c>
      <c r="J15" s="15">
        <f t="shared" si="4"/>
        <v>540</v>
      </c>
      <c r="K15" s="9">
        <v>2006</v>
      </c>
      <c r="L15" s="12">
        <f t="shared" si="5"/>
        <v>11</v>
      </c>
      <c r="M15" s="15">
        <f t="shared" si="6"/>
        <v>864</v>
      </c>
      <c r="N15" s="9">
        <v>45.7</v>
      </c>
      <c r="O15" s="9">
        <v>180</v>
      </c>
      <c r="P15" s="18">
        <f t="shared" si="7"/>
        <v>1891.98</v>
      </c>
      <c r="Q15" s="4">
        <f t="shared" si="8"/>
        <v>8226</v>
      </c>
      <c r="R15" s="5">
        <v>61.4</v>
      </c>
      <c r="S15" s="18">
        <f t="shared" si="9"/>
        <v>1515.2292</v>
      </c>
      <c r="T15" s="4">
        <v>0</v>
      </c>
      <c r="U15" s="18">
        <v>0</v>
      </c>
      <c r="V15" s="4">
        <f t="shared" si="10"/>
        <v>4811.2092000000002</v>
      </c>
    </row>
    <row r="16" spans="1:22" x14ac:dyDescent="0.2">
      <c r="A16" s="3">
        <v>114</v>
      </c>
      <c r="B16" s="3">
        <v>1</v>
      </c>
      <c r="C16" s="3">
        <f t="shared" si="1"/>
        <v>1</v>
      </c>
      <c r="D16" s="3"/>
      <c r="E16" s="3"/>
      <c r="F16" s="3">
        <v>1</v>
      </c>
      <c r="G16" s="3">
        <f t="shared" si="2"/>
        <v>0</v>
      </c>
      <c r="H16" s="3">
        <f t="shared" si="3"/>
        <v>1</v>
      </c>
      <c r="I16" s="9">
        <v>72</v>
      </c>
      <c r="J16" s="15">
        <f t="shared" si="4"/>
        <v>540</v>
      </c>
      <c r="K16" s="9">
        <v>2006</v>
      </c>
      <c r="L16" s="12">
        <f t="shared" si="5"/>
        <v>11</v>
      </c>
      <c r="M16" s="15">
        <f t="shared" si="6"/>
        <v>864</v>
      </c>
      <c r="N16" s="9">
        <v>55.1</v>
      </c>
      <c r="O16" s="9">
        <v>180</v>
      </c>
      <c r="P16" s="18">
        <f t="shared" si="7"/>
        <v>2281.14</v>
      </c>
      <c r="Q16" s="4">
        <f t="shared" si="8"/>
        <v>9918</v>
      </c>
      <c r="R16" s="5">
        <v>55.1</v>
      </c>
      <c r="S16" s="18">
        <f t="shared" si="9"/>
        <v>1639.4454000000001</v>
      </c>
      <c r="T16" s="4">
        <v>0</v>
      </c>
      <c r="U16" s="18">
        <v>0</v>
      </c>
      <c r="V16" s="4">
        <f t="shared" si="10"/>
        <v>5324.5853999999999</v>
      </c>
    </row>
    <row r="17" spans="1:22" x14ac:dyDescent="0.2">
      <c r="A17" s="3">
        <v>115</v>
      </c>
      <c r="B17" s="3">
        <v>1</v>
      </c>
      <c r="C17" s="3">
        <f t="shared" si="1"/>
        <v>1</v>
      </c>
      <c r="D17" s="3"/>
      <c r="E17" s="3"/>
      <c r="F17" s="3">
        <v>1</v>
      </c>
      <c r="G17" s="3">
        <f t="shared" si="2"/>
        <v>0</v>
      </c>
      <c r="H17" s="3">
        <f t="shared" si="3"/>
        <v>1</v>
      </c>
      <c r="I17" s="9">
        <v>72</v>
      </c>
      <c r="J17" s="15">
        <f t="shared" si="4"/>
        <v>540</v>
      </c>
      <c r="K17" s="9">
        <v>2006</v>
      </c>
      <c r="L17" s="12">
        <f t="shared" si="5"/>
        <v>11</v>
      </c>
      <c r="M17" s="15">
        <f t="shared" si="6"/>
        <v>864</v>
      </c>
      <c r="N17" s="9">
        <v>81.5</v>
      </c>
      <c r="O17" s="9">
        <v>180</v>
      </c>
      <c r="P17" s="18">
        <f t="shared" si="7"/>
        <v>3374.1000000000004</v>
      </c>
      <c r="Q17" s="4">
        <f t="shared" si="8"/>
        <v>14670</v>
      </c>
      <c r="R17" s="5">
        <v>66</v>
      </c>
      <c r="S17" s="18">
        <f t="shared" si="9"/>
        <v>2904.66</v>
      </c>
      <c r="T17" s="4">
        <v>0</v>
      </c>
      <c r="U17" s="18">
        <v>0</v>
      </c>
      <c r="V17" s="4">
        <f t="shared" si="10"/>
        <v>7682.76</v>
      </c>
    </row>
    <row r="18" spans="1:22" x14ac:dyDescent="0.2">
      <c r="A18" s="3">
        <v>116</v>
      </c>
      <c r="B18" s="3">
        <v>1</v>
      </c>
      <c r="C18" s="3">
        <f t="shared" si="1"/>
        <v>1</v>
      </c>
      <c r="D18" s="3"/>
      <c r="E18" s="3"/>
      <c r="F18" s="3">
        <v>1</v>
      </c>
      <c r="G18" s="3">
        <f t="shared" si="2"/>
        <v>0</v>
      </c>
      <c r="H18" s="3">
        <f t="shared" si="3"/>
        <v>1</v>
      </c>
      <c r="I18" s="9">
        <v>72</v>
      </c>
      <c r="J18" s="15">
        <f t="shared" si="4"/>
        <v>540</v>
      </c>
      <c r="K18" s="9">
        <v>2006</v>
      </c>
      <c r="L18" s="12">
        <f t="shared" si="5"/>
        <v>11</v>
      </c>
      <c r="M18" s="15">
        <f t="shared" si="6"/>
        <v>864</v>
      </c>
      <c r="N18" s="9">
        <v>80.599999999999994</v>
      </c>
      <c r="O18" s="9">
        <v>180</v>
      </c>
      <c r="P18" s="18">
        <f t="shared" si="7"/>
        <v>3336.8399999999997</v>
      </c>
      <c r="Q18" s="4">
        <f t="shared" si="8"/>
        <v>14507.999999999998</v>
      </c>
      <c r="R18" s="5">
        <v>34.700000000000003</v>
      </c>
      <c r="S18" s="18">
        <f t="shared" si="9"/>
        <v>1510.2827999999997</v>
      </c>
      <c r="T18" s="4">
        <v>0</v>
      </c>
      <c r="U18" s="18">
        <v>0</v>
      </c>
      <c r="V18" s="4">
        <f t="shared" si="10"/>
        <v>6251.1228000000001</v>
      </c>
    </row>
    <row r="19" spans="1:22" x14ac:dyDescent="0.2">
      <c r="A19" s="3">
        <v>117</v>
      </c>
      <c r="B19" s="3">
        <v>1</v>
      </c>
      <c r="C19" s="3">
        <f t="shared" si="1"/>
        <v>1</v>
      </c>
      <c r="D19" s="3"/>
      <c r="E19" s="3"/>
      <c r="F19" s="3">
        <v>1</v>
      </c>
      <c r="G19" s="3">
        <f t="shared" si="2"/>
        <v>0</v>
      </c>
      <c r="H19" s="3">
        <f t="shared" si="3"/>
        <v>1</v>
      </c>
      <c r="I19" s="9">
        <v>72</v>
      </c>
      <c r="J19" s="15">
        <f t="shared" si="4"/>
        <v>540</v>
      </c>
      <c r="K19" s="9">
        <v>2006</v>
      </c>
      <c r="L19" s="12">
        <f t="shared" si="5"/>
        <v>11</v>
      </c>
      <c r="M19" s="15">
        <f t="shared" si="6"/>
        <v>864</v>
      </c>
      <c r="N19" s="9">
        <v>80.599999999999994</v>
      </c>
      <c r="O19" s="9">
        <v>180</v>
      </c>
      <c r="P19" s="18">
        <f t="shared" si="7"/>
        <v>3336.8399999999997</v>
      </c>
      <c r="Q19" s="4">
        <f t="shared" si="8"/>
        <v>14507.999999999998</v>
      </c>
      <c r="R19" s="5">
        <v>56.5</v>
      </c>
      <c r="S19" s="18">
        <f t="shared" si="9"/>
        <v>2459.1059999999993</v>
      </c>
      <c r="T19" s="4">
        <v>0</v>
      </c>
      <c r="U19" s="18">
        <v>0</v>
      </c>
      <c r="V19" s="4">
        <f t="shared" si="10"/>
        <v>7199.9459999999999</v>
      </c>
    </row>
    <row r="20" spans="1:22" x14ac:dyDescent="0.2">
      <c r="A20" s="3">
        <v>119</v>
      </c>
      <c r="B20" s="3">
        <v>1</v>
      </c>
      <c r="C20" s="3">
        <f t="shared" ref="C20:C34" si="11">IF(N20&lt;20,N20/20,1)</f>
        <v>1</v>
      </c>
      <c r="D20" s="3"/>
      <c r="E20" s="3"/>
      <c r="F20" s="3">
        <v>1</v>
      </c>
      <c r="G20" s="3">
        <f t="shared" ref="G20:G34" si="12">B20*C20*E20*F20</f>
        <v>0</v>
      </c>
      <c r="H20" s="3">
        <f t="shared" ref="H20:H34" si="13">IF(G20&gt;0,G20,1)</f>
        <v>1</v>
      </c>
      <c r="I20" s="9">
        <v>48</v>
      </c>
      <c r="J20" s="15">
        <f t="shared" si="4"/>
        <v>540</v>
      </c>
      <c r="K20" s="9">
        <v>2011</v>
      </c>
      <c r="L20" s="12">
        <f t="shared" si="5"/>
        <v>6</v>
      </c>
      <c r="M20" s="15">
        <f t="shared" ref="M20:M34" si="14">IF(L20&gt;10,12*I20,15*I20)</f>
        <v>720</v>
      </c>
      <c r="N20" s="9">
        <v>76.900000000000006</v>
      </c>
      <c r="O20" s="9">
        <v>180</v>
      </c>
      <c r="P20" s="18">
        <f t="shared" ref="P20:P34" si="15">N20*O20*0.23</f>
        <v>3183.6600000000008</v>
      </c>
      <c r="Q20" s="4">
        <f t="shared" ref="Q20:Q34" si="16">N20*O20</f>
        <v>13842.000000000002</v>
      </c>
      <c r="R20" s="5">
        <v>18.3</v>
      </c>
      <c r="S20" s="18">
        <f t="shared" ref="S20:S34" si="17">Q20*R20*3/1000</f>
        <v>759.92580000000009</v>
      </c>
      <c r="T20" s="4">
        <v>0</v>
      </c>
      <c r="U20" s="18">
        <v>0</v>
      </c>
      <c r="V20" s="4">
        <f t="shared" ref="V20:V34" si="18">SUM(J20,M20,P20,S20,U20)</f>
        <v>5203.5858000000007</v>
      </c>
    </row>
    <row r="21" spans="1:22" x14ac:dyDescent="0.2">
      <c r="A21" s="3">
        <v>120</v>
      </c>
      <c r="B21" s="3">
        <v>1</v>
      </c>
      <c r="C21" s="3">
        <f t="shared" si="11"/>
        <v>1</v>
      </c>
      <c r="D21" s="3"/>
      <c r="E21" s="3"/>
      <c r="F21" s="3">
        <v>1</v>
      </c>
      <c r="G21" s="3">
        <f t="shared" si="12"/>
        <v>0</v>
      </c>
      <c r="H21" s="3">
        <f t="shared" si="13"/>
        <v>1</v>
      </c>
      <c r="I21" s="9">
        <v>48</v>
      </c>
      <c r="J21" s="15">
        <f t="shared" si="4"/>
        <v>540</v>
      </c>
      <c r="K21" s="9">
        <v>2011</v>
      </c>
      <c r="L21" s="12">
        <f t="shared" si="5"/>
        <v>6</v>
      </c>
      <c r="M21" s="15">
        <f t="shared" si="14"/>
        <v>720</v>
      </c>
      <c r="N21" s="9">
        <v>79.400000000000006</v>
      </c>
      <c r="O21" s="9">
        <v>186</v>
      </c>
      <c r="P21" s="18">
        <f t="shared" si="15"/>
        <v>3396.7320000000004</v>
      </c>
      <c r="Q21" s="4">
        <f t="shared" si="16"/>
        <v>14768.400000000001</v>
      </c>
      <c r="R21" s="5">
        <v>2</v>
      </c>
      <c r="S21" s="18">
        <f t="shared" si="17"/>
        <v>88.610400000000013</v>
      </c>
      <c r="T21" s="4">
        <v>0</v>
      </c>
      <c r="U21" s="18">
        <v>0</v>
      </c>
      <c r="V21" s="4">
        <f t="shared" si="18"/>
        <v>4745.3423999999995</v>
      </c>
    </row>
    <row r="22" spans="1:22" x14ac:dyDescent="0.2">
      <c r="A22" s="3">
        <v>121</v>
      </c>
      <c r="B22" s="3">
        <v>1</v>
      </c>
      <c r="C22" s="3">
        <f t="shared" si="11"/>
        <v>1</v>
      </c>
      <c r="D22" s="3"/>
      <c r="E22" s="3"/>
      <c r="F22" s="3">
        <v>1</v>
      </c>
      <c r="G22" s="3">
        <f t="shared" si="12"/>
        <v>0</v>
      </c>
      <c r="H22" s="3">
        <f t="shared" si="13"/>
        <v>1</v>
      </c>
      <c r="I22" s="9">
        <v>48</v>
      </c>
      <c r="J22" s="15">
        <f t="shared" si="4"/>
        <v>540</v>
      </c>
      <c r="K22" s="9">
        <v>2009</v>
      </c>
      <c r="L22" s="12">
        <f t="shared" si="5"/>
        <v>8</v>
      </c>
      <c r="M22" s="15">
        <f t="shared" si="14"/>
        <v>720</v>
      </c>
      <c r="N22" s="9">
        <v>89.6</v>
      </c>
      <c r="O22" s="9">
        <v>190</v>
      </c>
      <c r="P22" s="18">
        <f t="shared" si="15"/>
        <v>3915.52</v>
      </c>
      <c r="Q22" s="4">
        <f t="shared" si="16"/>
        <v>17024</v>
      </c>
      <c r="R22" s="5">
        <v>8.3000000000000007</v>
      </c>
      <c r="S22" s="18">
        <f t="shared" si="17"/>
        <v>423.89760000000001</v>
      </c>
      <c r="T22" s="4">
        <v>0</v>
      </c>
      <c r="U22" s="18">
        <v>0</v>
      </c>
      <c r="V22" s="4">
        <f t="shared" si="18"/>
        <v>5599.4176000000007</v>
      </c>
    </row>
    <row r="23" spans="1:22" x14ac:dyDescent="0.2">
      <c r="A23" s="3">
        <v>122</v>
      </c>
      <c r="B23" s="3">
        <v>1</v>
      </c>
      <c r="C23" s="3">
        <f t="shared" si="11"/>
        <v>1</v>
      </c>
      <c r="D23" s="3"/>
      <c r="E23" s="3"/>
      <c r="F23" s="3">
        <v>1</v>
      </c>
      <c r="G23" s="3">
        <f t="shared" si="12"/>
        <v>0</v>
      </c>
      <c r="H23" s="3">
        <f t="shared" si="13"/>
        <v>1</v>
      </c>
      <c r="I23" s="9">
        <v>48</v>
      </c>
      <c r="J23" s="15">
        <f t="shared" si="4"/>
        <v>540</v>
      </c>
      <c r="K23" s="9">
        <v>2010</v>
      </c>
      <c r="L23" s="12">
        <f t="shared" si="5"/>
        <v>7</v>
      </c>
      <c r="M23" s="15">
        <f t="shared" si="14"/>
        <v>720</v>
      </c>
      <c r="N23" s="9">
        <v>125.5</v>
      </c>
      <c r="O23" s="9">
        <v>191</v>
      </c>
      <c r="P23" s="18">
        <f t="shared" si="15"/>
        <v>5513.2150000000001</v>
      </c>
      <c r="Q23" s="4">
        <f t="shared" si="16"/>
        <v>23970.5</v>
      </c>
      <c r="R23" s="5">
        <v>1.3</v>
      </c>
      <c r="S23" s="18">
        <f t="shared" si="17"/>
        <v>93.484950000000012</v>
      </c>
      <c r="T23" s="4">
        <v>0</v>
      </c>
      <c r="U23" s="18">
        <v>0</v>
      </c>
      <c r="V23" s="4">
        <f t="shared" si="18"/>
        <v>6866.6999500000002</v>
      </c>
    </row>
    <row r="24" spans="1:22" x14ac:dyDescent="0.2">
      <c r="A24" s="3">
        <v>123</v>
      </c>
      <c r="B24" s="3">
        <v>1</v>
      </c>
      <c r="C24" s="3">
        <f t="shared" si="11"/>
        <v>1</v>
      </c>
      <c r="D24" s="3"/>
      <c r="E24" s="3"/>
      <c r="F24" s="3">
        <v>1</v>
      </c>
      <c r="G24" s="3">
        <f t="shared" si="12"/>
        <v>0</v>
      </c>
      <c r="H24" s="3">
        <f t="shared" si="13"/>
        <v>1</v>
      </c>
      <c r="I24" s="9">
        <v>48</v>
      </c>
      <c r="J24" s="15">
        <f t="shared" si="4"/>
        <v>540</v>
      </c>
      <c r="K24" s="9">
        <v>2011</v>
      </c>
      <c r="L24" s="12">
        <f t="shared" si="5"/>
        <v>6</v>
      </c>
      <c r="M24" s="15">
        <f t="shared" si="14"/>
        <v>720</v>
      </c>
      <c r="N24" s="9">
        <v>129.6</v>
      </c>
      <c r="O24" s="9">
        <v>190</v>
      </c>
      <c r="P24" s="18">
        <f t="shared" si="15"/>
        <v>5663.52</v>
      </c>
      <c r="Q24" s="4">
        <f t="shared" si="16"/>
        <v>24624</v>
      </c>
      <c r="R24" s="5">
        <v>17.100000000000001</v>
      </c>
      <c r="S24" s="18">
        <f t="shared" si="17"/>
        <v>1263.2112000000002</v>
      </c>
      <c r="T24" s="4">
        <v>0</v>
      </c>
      <c r="U24" s="18">
        <v>0</v>
      </c>
      <c r="V24" s="4">
        <f t="shared" si="18"/>
        <v>8186.7312000000002</v>
      </c>
    </row>
    <row r="25" spans="1:22" x14ac:dyDescent="0.2">
      <c r="A25" s="3">
        <v>124</v>
      </c>
      <c r="B25" s="3">
        <v>1</v>
      </c>
      <c r="C25" s="3">
        <f t="shared" si="11"/>
        <v>1</v>
      </c>
      <c r="D25" s="3"/>
      <c r="E25" s="3"/>
      <c r="F25" s="3">
        <v>1</v>
      </c>
      <c r="G25" s="3">
        <f t="shared" si="12"/>
        <v>0</v>
      </c>
      <c r="H25" s="3">
        <f t="shared" si="13"/>
        <v>1</v>
      </c>
      <c r="I25" s="9">
        <v>72</v>
      </c>
      <c r="J25" s="15">
        <f t="shared" si="4"/>
        <v>540</v>
      </c>
      <c r="K25" s="9">
        <v>2012</v>
      </c>
      <c r="L25" s="12">
        <f t="shared" si="5"/>
        <v>5</v>
      </c>
      <c r="M25" s="15">
        <f t="shared" si="14"/>
        <v>1080</v>
      </c>
      <c r="N25" s="9">
        <v>77.7</v>
      </c>
      <c r="O25" s="9">
        <v>180</v>
      </c>
      <c r="P25" s="18">
        <f t="shared" si="15"/>
        <v>3216.78</v>
      </c>
      <c r="Q25" s="4">
        <f t="shared" si="16"/>
        <v>13986</v>
      </c>
      <c r="R25" s="5">
        <v>53.5</v>
      </c>
      <c r="S25" s="18">
        <f t="shared" si="17"/>
        <v>2244.7530000000002</v>
      </c>
      <c r="T25" s="4">
        <v>0</v>
      </c>
      <c r="U25" s="18">
        <v>0</v>
      </c>
      <c r="V25" s="4">
        <f t="shared" si="18"/>
        <v>7081.5330000000013</v>
      </c>
    </row>
    <row r="26" spans="1:22" x14ac:dyDescent="0.2">
      <c r="A26" s="3">
        <v>125</v>
      </c>
      <c r="B26" s="3">
        <v>1</v>
      </c>
      <c r="C26" s="3">
        <f t="shared" si="11"/>
        <v>1</v>
      </c>
      <c r="D26" s="3"/>
      <c r="E26" s="3"/>
      <c r="F26" s="3">
        <v>1</v>
      </c>
      <c r="G26" s="3">
        <f t="shared" si="12"/>
        <v>0</v>
      </c>
      <c r="H26" s="3">
        <f t="shared" si="13"/>
        <v>1</v>
      </c>
      <c r="I26" s="9">
        <v>72</v>
      </c>
      <c r="J26" s="15">
        <f t="shared" si="4"/>
        <v>540</v>
      </c>
      <c r="K26" s="9">
        <v>2013</v>
      </c>
      <c r="L26" s="12">
        <f t="shared" si="5"/>
        <v>4</v>
      </c>
      <c r="M26" s="15">
        <f t="shared" si="14"/>
        <v>1080</v>
      </c>
      <c r="N26" s="9">
        <v>75</v>
      </c>
      <c r="O26" s="9">
        <v>180</v>
      </c>
      <c r="P26" s="18">
        <f t="shared" si="15"/>
        <v>3105</v>
      </c>
      <c r="Q26" s="4">
        <f t="shared" si="16"/>
        <v>13500</v>
      </c>
      <c r="R26" s="5">
        <v>57.8</v>
      </c>
      <c r="S26" s="18">
        <f t="shared" si="17"/>
        <v>2340.9</v>
      </c>
      <c r="T26" s="4">
        <v>0</v>
      </c>
      <c r="U26" s="18">
        <v>0</v>
      </c>
      <c r="V26" s="4">
        <f t="shared" si="18"/>
        <v>7065.9</v>
      </c>
    </row>
    <row r="27" spans="1:22" x14ac:dyDescent="0.2">
      <c r="A27" s="3">
        <v>126</v>
      </c>
      <c r="B27" s="3">
        <v>1</v>
      </c>
      <c r="C27" s="3">
        <f t="shared" si="11"/>
        <v>1</v>
      </c>
      <c r="D27" s="3"/>
      <c r="E27" s="3"/>
      <c r="F27" s="3">
        <v>1</v>
      </c>
      <c r="G27" s="3">
        <f t="shared" si="12"/>
        <v>0</v>
      </c>
      <c r="H27" s="3">
        <f t="shared" si="13"/>
        <v>1</v>
      </c>
      <c r="I27" s="9">
        <v>36</v>
      </c>
      <c r="J27" s="15">
        <f t="shared" si="4"/>
        <v>540</v>
      </c>
      <c r="K27" s="9">
        <v>2014</v>
      </c>
      <c r="L27" s="12">
        <f t="shared" si="5"/>
        <v>3</v>
      </c>
      <c r="M27" s="15">
        <f t="shared" si="14"/>
        <v>540</v>
      </c>
      <c r="N27" s="9">
        <v>89.5</v>
      </c>
      <c r="O27" s="9">
        <v>188</v>
      </c>
      <c r="P27" s="18">
        <f t="shared" si="15"/>
        <v>3869.98</v>
      </c>
      <c r="Q27" s="4">
        <f t="shared" si="16"/>
        <v>16826</v>
      </c>
      <c r="R27" s="5">
        <v>7</v>
      </c>
      <c r="S27" s="18">
        <f t="shared" si="17"/>
        <v>353.346</v>
      </c>
      <c r="T27" s="4">
        <v>0</v>
      </c>
      <c r="U27" s="18">
        <v>0</v>
      </c>
      <c r="V27" s="4">
        <f t="shared" si="18"/>
        <v>5303.3259999999991</v>
      </c>
    </row>
    <row r="28" spans="1:22" x14ac:dyDescent="0.2">
      <c r="A28" s="3">
        <v>127</v>
      </c>
      <c r="B28" s="3">
        <v>1</v>
      </c>
      <c r="C28" s="3">
        <f t="shared" si="11"/>
        <v>1</v>
      </c>
      <c r="D28" s="3"/>
      <c r="E28" s="3"/>
      <c r="F28" s="3">
        <v>1</v>
      </c>
      <c r="G28" s="3">
        <f t="shared" si="12"/>
        <v>0</v>
      </c>
      <c r="H28" s="3">
        <f t="shared" si="13"/>
        <v>1</v>
      </c>
      <c r="I28" s="9">
        <v>36</v>
      </c>
      <c r="J28" s="15">
        <f t="shared" si="4"/>
        <v>540</v>
      </c>
      <c r="K28" s="9">
        <v>2015</v>
      </c>
      <c r="L28" s="12">
        <f t="shared" si="5"/>
        <v>2</v>
      </c>
      <c r="M28" s="15">
        <f t="shared" si="14"/>
        <v>540</v>
      </c>
      <c r="N28" s="9">
        <v>87.3</v>
      </c>
      <c r="O28" s="9">
        <v>189</v>
      </c>
      <c r="P28" s="18">
        <f t="shared" si="15"/>
        <v>3794.9310000000005</v>
      </c>
      <c r="Q28" s="4">
        <f t="shared" si="16"/>
        <v>16499.7</v>
      </c>
      <c r="R28" s="5">
        <v>8.9</v>
      </c>
      <c r="S28" s="18">
        <f t="shared" si="17"/>
        <v>440.54199000000006</v>
      </c>
      <c r="T28" s="4">
        <v>0</v>
      </c>
      <c r="U28" s="18">
        <v>0</v>
      </c>
      <c r="V28" s="4">
        <f t="shared" si="18"/>
        <v>5315.4729900000002</v>
      </c>
    </row>
    <row r="29" spans="1:22" x14ac:dyDescent="0.2">
      <c r="A29" s="3">
        <v>128</v>
      </c>
      <c r="B29" s="3">
        <v>1</v>
      </c>
      <c r="C29" s="3">
        <f t="shared" si="11"/>
        <v>1</v>
      </c>
      <c r="D29" s="3"/>
      <c r="E29" s="3"/>
      <c r="F29" s="3">
        <v>1</v>
      </c>
      <c r="G29" s="3">
        <f t="shared" si="12"/>
        <v>0</v>
      </c>
      <c r="H29" s="3">
        <f t="shared" si="13"/>
        <v>1</v>
      </c>
      <c r="I29" s="9">
        <v>36</v>
      </c>
      <c r="J29" s="15">
        <f t="shared" si="4"/>
        <v>540</v>
      </c>
      <c r="K29" s="9">
        <v>2016</v>
      </c>
      <c r="L29" s="12">
        <f t="shared" si="5"/>
        <v>1</v>
      </c>
      <c r="M29" s="15">
        <f t="shared" si="14"/>
        <v>540</v>
      </c>
      <c r="N29" s="9">
        <v>124</v>
      </c>
      <c r="O29" s="9">
        <v>180</v>
      </c>
      <c r="P29" s="18">
        <f t="shared" si="15"/>
        <v>5133.6000000000004</v>
      </c>
      <c r="Q29" s="4">
        <f t="shared" si="16"/>
        <v>22320</v>
      </c>
      <c r="R29" s="5">
        <v>20</v>
      </c>
      <c r="S29" s="18">
        <f t="shared" si="17"/>
        <v>1339.2</v>
      </c>
      <c r="T29" s="4">
        <v>0</v>
      </c>
      <c r="U29" s="18">
        <v>0</v>
      </c>
      <c r="V29" s="4">
        <f t="shared" si="18"/>
        <v>7552.8</v>
      </c>
    </row>
    <row r="30" spans="1:22" x14ac:dyDescent="0.2">
      <c r="A30" s="3">
        <v>129</v>
      </c>
      <c r="B30" s="3">
        <v>1</v>
      </c>
      <c r="C30" s="3">
        <f t="shared" si="11"/>
        <v>1</v>
      </c>
      <c r="D30" s="3"/>
      <c r="E30" s="3"/>
      <c r="F30" s="3">
        <v>1</v>
      </c>
      <c r="G30" s="3">
        <f t="shared" si="12"/>
        <v>0</v>
      </c>
      <c r="H30" s="3">
        <f t="shared" si="13"/>
        <v>1</v>
      </c>
      <c r="I30" s="9">
        <v>36</v>
      </c>
      <c r="J30" s="15">
        <f t="shared" si="4"/>
        <v>540</v>
      </c>
      <c r="K30" s="9">
        <v>2017</v>
      </c>
      <c r="L30" s="12">
        <f t="shared" si="5"/>
        <v>0</v>
      </c>
      <c r="M30" s="15">
        <f t="shared" si="14"/>
        <v>540</v>
      </c>
      <c r="N30" s="9">
        <v>62.5</v>
      </c>
      <c r="O30" s="9">
        <v>180</v>
      </c>
      <c r="P30" s="18">
        <f t="shared" si="15"/>
        <v>2587.5</v>
      </c>
      <c r="Q30" s="4">
        <f t="shared" si="16"/>
        <v>11250</v>
      </c>
      <c r="R30" s="5">
        <v>11.7</v>
      </c>
      <c r="S30" s="18">
        <f t="shared" si="17"/>
        <v>394.875</v>
      </c>
      <c r="T30" s="4">
        <v>0</v>
      </c>
      <c r="U30" s="18">
        <v>0</v>
      </c>
      <c r="V30" s="4">
        <f t="shared" si="18"/>
        <v>4062.375</v>
      </c>
    </row>
    <row r="31" spans="1:22" x14ac:dyDescent="0.2">
      <c r="A31" s="3">
        <v>130</v>
      </c>
      <c r="B31" s="3">
        <v>1</v>
      </c>
      <c r="C31" s="3">
        <f t="shared" si="11"/>
        <v>1</v>
      </c>
      <c r="D31" s="3"/>
      <c r="E31" s="3"/>
      <c r="F31" s="3">
        <v>1</v>
      </c>
      <c r="G31" s="3">
        <f t="shared" si="12"/>
        <v>0</v>
      </c>
      <c r="H31" s="3">
        <f t="shared" si="13"/>
        <v>1</v>
      </c>
      <c r="I31" s="9">
        <v>36</v>
      </c>
      <c r="J31" s="15">
        <f t="shared" si="4"/>
        <v>540</v>
      </c>
      <c r="K31" s="9">
        <v>2017</v>
      </c>
      <c r="L31" s="12">
        <f t="shared" si="5"/>
        <v>0</v>
      </c>
      <c r="M31" s="15">
        <f t="shared" si="14"/>
        <v>540</v>
      </c>
      <c r="N31" s="9">
        <v>62.2</v>
      </c>
      <c r="O31" s="9">
        <v>190</v>
      </c>
      <c r="P31" s="18">
        <f t="shared" si="15"/>
        <v>2718.1400000000003</v>
      </c>
      <c r="Q31" s="4">
        <f t="shared" si="16"/>
        <v>11818</v>
      </c>
      <c r="R31" s="5">
        <v>3</v>
      </c>
      <c r="S31" s="18">
        <f t="shared" si="17"/>
        <v>106.36199999999999</v>
      </c>
      <c r="T31" s="4">
        <v>0</v>
      </c>
      <c r="U31" s="18">
        <v>0</v>
      </c>
      <c r="V31" s="4">
        <f t="shared" si="18"/>
        <v>3904.5020000000004</v>
      </c>
    </row>
    <row r="32" spans="1:22" x14ac:dyDescent="0.2">
      <c r="A32" s="3">
        <v>131</v>
      </c>
      <c r="B32" s="3">
        <v>1</v>
      </c>
      <c r="C32" s="3">
        <f t="shared" si="11"/>
        <v>1</v>
      </c>
      <c r="D32" s="3"/>
      <c r="E32" s="3"/>
      <c r="F32" s="3">
        <v>1</v>
      </c>
      <c r="G32" s="3">
        <f t="shared" si="12"/>
        <v>0</v>
      </c>
      <c r="H32" s="3">
        <f t="shared" si="13"/>
        <v>1</v>
      </c>
      <c r="I32" s="9">
        <v>36</v>
      </c>
      <c r="J32" s="15">
        <f t="shared" si="4"/>
        <v>540</v>
      </c>
      <c r="K32" s="9">
        <v>2017</v>
      </c>
      <c r="L32" s="12">
        <f t="shared" si="5"/>
        <v>0</v>
      </c>
      <c r="M32" s="15">
        <f t="shared" si="14"/>
        <v>540</v>
      </c>
      <c r="N32" s="9">
        <v>100.8</v>
      </c>
      <c r="O32" s="9">
        <v>180</v>
      </c>
      <c r="P32" s="18">
        <f t="shared" si="15"/>
        <v>4173.12</v>
      </c>
      <c r="Q32" s="4">
        <f t="shared" si="16"/>
        <v>18144</v>
      </c>
      <c r="R32" s="5">
        <v>5.9</v>
      </c>
      <c r="S32" s="18">
        <f t="shared" si="17"/>
        <v>321.14880000000005</v>
      </c>
      <c r="T32" s="4">
        <v>0</v>
      </c>
      <c r="U32" s="18">
        <v>0</v>
      </c>
      <c r="V32" s="4">
        <f t="shared" si="18"/>
        <v>5574.2687999999998</v>
      </c>
    </row>
    <row r="33" spans="1:22" x14ac:dyDescent="0.2">
      <c r="A33" s="3">
        <v>132</v>
      </c>
      <c r="B33" s="3">
        <v>1</v>
      </c>
      <c r="C33" s="3">
        <f t="shared" si="11"/>
        <v>1</v>
      </c>
      <c r="D33" s="3"/>
      <c r="E33" s="3"/>
      <c r="F33" s="3">
        <v>1</v>
      </c>
      <c r="G33" s="3">
        <f t="shared" si="12"/>
        <v>0</v>
      </c>
      <c r="H33" s="3">
        <f t="shared" si="13"/>
        <v>1</v>
      </c>
      <c r="I33" s="9">
        <v>36</v>
      </c>
      <c r="J33" s="15">
        <f t="shared" si="4"/>
        <v>540</v>
      </c>
      <c r="K33" s="9">
        <v>2017</v>
      </c>
      <c r="L33" s="12">
        <f t="shared" si="5"/>
        <v>0</v>
      </c>
      <c r="M33" s="15">
        <f t="shared" si="14"/>
        <v>540</v>
      </c>
      <c r="N33" s="9">
        <v>99.4</v>
      </c>
      <c r="O33" s="9">
        <v>180</v>
      </c>
      <c r="P33" s="18">
        <f t="shared" si="15"/>
        <v>4115.16</v>
      </c>
      <c r="Q33" s="4">
        <f t="shared" si="16"/>
        <v>17892</v>
      </c>
      <c r="R33" s="5">
        <v>6</v>
      </c>
      <c r="S33" s="18">
        <f t="shared" si="17"/>
        <v>322.05599999999998</v>
      </c>
      <c r="T33" s="4">
        <v>0</v>
      </c>
      <c r="U33" s="18">
        <v>0</v>
      </c>
      <c r="V33" s="4">
        <f t="shared" si="18"/>
        <v>5517.2159999999994</v>
      </c>
    </row>
    <row r="34" spans="1:22" x14ac:dyDescent="0.2">
      <c r="A34" s="3">
        <v>133</v>
      </c>
      <c r="B34" s="3">
        <v>1</v>
      </c>
      <c r="C34" s="3">
        <f t="shared" si="11"/>
        <v>1</v>
      </c>
      <c r="D34" s="3"/>
      <c r="E34" s="3"/>
      <c r="F34" s="3">
        <v>1</v>
      </c>
      <c r="G34" s="3">
        <f t="shared" si="12"/>
        <v>0</v>
      </c>
      <c r="H34" s="3">
        <f t="shared" si="13"/>
        <v>1</v>
      </c>
      <c r="I34" s="9">
        <v>36</v>
      </c>
      <c r="J34" s="15">
        <f t="shared" si="4"/>
        <v>540</v>
      </c>
      <c r="K34" s="9">
        <v>2021</v>
      </c>
      <c r="L34" s="12">
        <f t="shared" si="5"/>
        <v>-4</v>
      </c>
      <c r="M34" s="15">
        <f t="shared" si="14"/>
        <v>540</v>
      </c>
      <c r="N34" s="9">
        <v>98.9</v>
      </c>
      <c r="O34" s="9">
        <v>191</v>
      </c>
      <c r="P34" s="18">
        <f t="shared" si="15"/>
        <v>4344.6770000000006</v>
      </c>
      <c r="Q34" s="4">
        <f t="shared" si="16"/>
        <v>18889.900000000001</v>
      </c>
      <c r="R34" s="5">
        <v>1.9</v>
      </c>
      <c r="S34" s="18">
        <f t="shared" si="17"/>
        <v>107.67242999999999</v>
      </c>
      <c r="T34" s="4">
        <v>0</v>
      </c>
      <c r="U34" s="18">
        <v>0</v>
      </c>
      <c r="V34" s="4">
        <f t="shared" si="18"/>
        <v>5532.3494300000002</v>
      </c>
    </row>
    <row r="35" spans="1:22" x14ac:dyDescent="0.2">
      <c r="A35" s="3">
        <v>134</v>
      </c>
      <c r="B35" s="3">
        <v>1</v>
      </c>
      <c r="C35" s="3">
        <f t="shared" ref="C35:C52" si="19">IF(N35&lt;20,N35/20,1)</f>
        <v>1</v>
      </c>
      <c r="D35" s="3"/>
      <c r="E35" s="3"/>
      <c r="F35" s="3">
        <v>1</v>
      </c>
      <c r="G35" s="3">
        <f t="shared" ref="G35:G52" si="20">B35*C35*E35*F35</f>
        <v>0</v>
      </c>
      <c r="H35" s="3">
        <f t="shared" ref="H35:H52" si="21">IF(G35&gt;0,G35,1)</f>
        <v>1</v>
      </c>
      <c r="I35" s="9">
        <v>36</v>
      </c>
      <c r="J35" s="15">
        <f t="shared" si="4"/>
        <v>540</v>
      </c>
      <c r="K35" s="9">
        <v>2017</v>
      </c>
      <c r="L35" s="12">
        <f t="shared" si="5"/>
        <v>0</v>
      </c>
      <c r="M35" s="15">
        <f t="shared" ref="M35:M52" si="22">IF(L35&gt;10,12*I35,15*I35)</f>
        <v>540</v>
      </c>
      <c r="N35" s="9">
        <v>110.4</v>
      </c>
      <c r="O35" s="9">
        <v>184</v>
      </c>
      <c r="P35" s="18">
        <f t="shared" ref="P35:P52" si="23">N35*O35*0.23</f>
        <v>4672.1280000000006</v>
      </c>
      <c r="Q35" s="4">
        <f t="shared" ref="Q35:Q52" si="24">N35*O35</f>
        <v>20313.600000000002</v>
      </c>
      <c r="R35" s="5">
        <v>9.9</v>
      </c>
      <c r="S35" s="18">
        <f t="shared" ref="S35:S52" si="25">Q35*R35*3/1000</f>
        <v>603.31392000000017</v>
      </c>
      <c r="T35" s="4">
        <v>0</v>
      </c>
      <c r="U35" s="18">
        <v>0</v>
      </c>
      <c r="V35" s="4">
        <f t="shared" ref="V35:V52" si="26">SUM(J35,M35,P35,S35,U35)</f>
        <v>6355.4419200000011</v>
      </c>
    </row>
    <row r="36" spans="1:22" x14ac:dyDescent="0.2">
      <c r="A36" s="3">
        <v>135</v>
      </c>
      <c r="B36" s="3">
        <v>1</v>
      </c>
      <c r="C36" s="3">
        <f t="shared" si="19"/>
        <v>1</v>
      </c>
      <c r="D36" s="3"/>
      <c r="E36" s="3"/>
      <c r="F36" s="3">
        <v>1</v>
      </c>
      <c r="G36" s="3">
        <f t="shared" si="20"/>
        <v>0</v>
      </c>
      <c r="H36" s="3">
        <f t="shared" si="21"/>
        <v>1</v>
      </c>
      <c r="I36" s="9">
        <v>36</v>
      </c>
      <c r="J36" s="15">
        <f t="shared" si="4"/>
        <v>540</v>
      </c>
      <c r="K36" s="9">
        <v>2017</v>
      </c>
      <c r="L36" s="12">
        <f t="shared" si="5"/>
        <v>0</v>
      </c>
      <c r="M36" s="15">
        <f t="shared" si="22"/>
        <v>540</v>
      </c>
      <c r="N36" s="9">
        <v>33.299999999999997</v>
      </c>
      <c r="O36" s="9">
        <v>185</v>
      </c>
      <c r="P36" s="18">
        <f t="shared" si="23"/>
        <v>1416.915</v>
      </c>
      <c r="Q36" s="4">
        <f t="shared" si="24"/>
        <v>6160.4999999999991</v>
      </c>
      <c r="R36" s="5">
        <v>2</v>
      </c>
      <c r="S36" s="18">
        <f t="shared" si="25"/>
        <v>36.962999999999994</v>
      </c>
      <c r="T36" s="4">
        <v>0</v>
      </c>
      <c r="U36" s="18">
        <v>0</v>
      </c>
      <c r="V36" s="4">
        <f t="shared" si="26"/>
        <v>2533.8780000000002</v>
      </c>
    </row>
    <row r="37" spans="1:22" x14ac:dyDescent="0.2">
      <c r="A37" s="3">
        <v>136</v>
      </c>
      <c r="B37" s="3">
        <v>1</v>
      </c>
      <c r="C37" s="3">
        <f t="shared" si="19"/>
        <v>1</v>
      </c>
      <c r="D37" s="3"/>
      <c r="E37" s="3"/>
      <c r="F37" s="3">
        <v>1</v>
      </c>
      <c r="G37" s="3">
        <f t="shared" si="20"/>
        <v>0</v>
      </c>
      <c r="H37" s="3">
        <f t="shared" si="21"/>
        <v>1</v>
      </c>
      <c r="I37" s="9">
        <v>72</v>
      </c>
      <c r="J37" s="15">
        <f t="shared" si="4"/>
        <v>540</v>
      </c>
      <c r="K37" s="9">
        <v>2024</v>
      </c>
      <c r="L37" s="12">
        <f t="shared" si="5"/>
        <v>-7</v>
      </c>
      <c r="M37" s="15">
        <f t="shared" si="22"/>
        <v>1080</v>
      </c>
      <c r="N37" s="9">
        <v>53</v>
      </c>
      <c r="O37" s="9">
        <v>180</v>
      </c>
      <c r="P37" s="18">
        <f t="shared" si="23"/>
        <v>2194.2000000000003</v>
      </c>
      <c r="Q37" s="4">
        <f t="shared" si="24"/>
        <v>9540</v>
      </c>
      <c r="R37" s="5">
        <v>56.4</v>
      </c>
      <c r="S37" s="18">
        <f t="shared" si="25"/>
        <v>1614.1679999999999</v>
      </c>
      <c r="T37" s="4">
        <v>0</v>
      </c>
      <c r="U37" s="18">
        <v>0</v>
      </c>
      <c r="V37" s="4">
        <f t="shared" si="26"/>
        <v>5428.3680000000004</v>
      </c>
    </row>
    <row r="38" spans="1:22" x14ac:dyDescent="0.2">
      <c r="A38" s="3">
        <v>137</v>
      </c>
      <c r="B38" s="3">
        <v>1</v>
      </c>
      <c r="C38" s="3">
        <f t="shared" si="19"/>
        <v>1</v>
      </c>
      <c r="D38" s="3"/>
      <c r="E38" s="3"/>
      <c r="F38" s="3">
        <v>1</v>
      </c>
      <c r="G38" s="3">
        <f t="shared" si="20"/>
        <v>0</v>
      </c>
      <c r="H38" s="3">
        <f t="shared" si="21"/>
        <v>1</v>
      </c>
      <c r="I38" s="9">
        <v>72</v>
      </c>
      <c r="J38" s="15">
        <f t="shared" si="4"/>
        <v>540</v>
      </c>
      <c r="K38" s="9">
        <v>2025</v>
      </c>
      <c r="L38" s="12">
        <f t="shared" si="5"/>
        <v>-8</v>
      </c>
      <c r="M38" s="15">
        <f t="shared" si="22"/>
        <v>1080</v>
      </c>
      <c r="N38" s="9">
        <v>64.400000000000006</v>
      </c>
      <c r="O38" s="9">
        <v>180</v>
      </c>
      <c r="P38" s="18">
        <f t="shared" si="23"/>
        <v>2666.1600000000003</v>
      </c>
      <c r="Q38" s="4">
        <f t="shared" si="24"/>
        <v>11592.000000000002</v>
      </c>
      <c r="R38" s="5">
        <v>54.2</v>
      </c>
      <c r="S38" s="18">
        <f t="shared" si="25"/>
        <v>1884.8592000000003</v>
      </c>
      <c r="T38" s="4">
        <v>0</v>
      </c>
      <c r="U38" s="18">
        <v>0</v>
      </c>
      <c r="V38" s="4">
        <f t="shared" si="26"/>
        <v>6171.0192000000006</v>
      </c>
    </row>
    <row r="39" spans="1:22" x14ac:dyDescent="0.2">
      <c r="A39" s="3">
        <v>138</v>
      </c>
      <c r="B39" s="3">
        <v>1</v>
      </c>
      <c r="C39" s="3">
        <f t="shared" si="19"/>
        <v>1</v>
      </c>
      <c r="D39" s="3"/>
      <c r="E39" s="3"/>
      <c r="F39" s="3">
        <v>1</v>
      </c>
      <c r="G39" s="3">
        <f t="shared" si="20"/>
        <v>0</v>
      </c>
      <c r="H39" s="3">
        <f t="shared" si="21"/>
        <v>1</v>
      </c>
      <c r="I39" s="9">
        <v>72</v>
      </c>
      <c r="J39" s="15">
        <f t="shared" si="4"/>
        <v>540</v>
      </c>
      <c r="K39" s="9">
        <v>2026</v>
      </c>
      <c r="L39" s="12">
        <f t="shared" si="5"/>
        <v>-9</v>
      </c>
      <c r="M39" s="15">
        <f t="shared" si="22"/>
        <v>1080</v>
      </c>
      <c r="N39" s="9">
        <v>66.599999999999994</v>
      </c>
      <c r="O39" s="9">
        <v>180</v>
      </c>
      <c r="P39" s="18">
        <f t="shared" si="23"/>
        <v>2757.24</v>
      </c>
      <c r="Q39" s="4">
        <f t="shared" si="24"/>
        <v>11987.999999999998</v>
      </c>
      <c r="R39" s="5">
        <v>68.5</v>
      </c>
      <c r="S39" s="18">
        <f t="shared" si="25"/>
        <v>2463.5339999999997</v>
      </c>
      <c r="T39" s="4">
        <v>0</v>
      </c>
      <c r="U39" s="18">
        <v>0</v>
      </c>
      <c r="V39" s="4">
        <f t="shared" si="26"/>
        <v>6840.7739999999994</v>
      </c>
    </row>
    <row r="40" spans="1:22" x14ac:dyDescent="0.2">
      <c r="A40" s="3">
        <v>139</v>
      </c>
      <c r="B40" s="3">
        <v>1</v>
      </c>
      <c r="C40" s="3">
        <f t="shared" si="19"/>
        <v>1</v>
      </c>
      <c r="D40" s="3"/>
      <c r="E40" s="3"/>
      <c r="F40" s="3">
        <v>1</v>
      </c>
      <c r="G40" s="3">
        <f t="shared" si="20"/>
        <v>0</v>
      </c>
      <c r="H40" s="3">
        <f t="shared" si="21"/>
        <v>1</v>
      </c>
      <c r="I40" s="9">
        <v>72</v>
      </c>
      <c r="J40" s="15">
        <f t="shared" si="4"/>
        <v>540</v>
      </c>
      <c r="K40" s="9">
        <v>2027</v>
      </c>
      <c r="L40" s="12">
        <f t="shared" si="5"/>
        <v>-10</v>
      </c>
      <c r="M40" s="15">
        <f t="shared" si="22"/>
        <v>1080</v>
      </c>
      <c r="N40" s="9">
        <v>54.2</v>
      </c>
      <c r="O40" s="9">
        <v>180</v>
      </c>
      <c r="P40" s="18">
        <f t="shared" si="23"/>
        <v>2243.88</v>
      </c>
      <c r="Q40" s="4">
        <f t="shared" si="24"/>
        <v>9756</v>
      </c>
      <c r="R40" s="5">
        <v>66.5</v>
      </c>
      <c r="S40" s="18">
        <f t="shared" si="25"/>
        <v>1946.3219999999999</v>
      </c>
      <c r="T40" s="4">
        <v>0</v>
      </c>
      <c r="U40" s="18">
        <v>0</v>
      </c>
      <c r="V40" s="4">
        <f t="shared" si="26"/>
        <v>5810.2020000000002</v>
      </c>
    </row>
    <row r="41" spans="1:22" x14ac:dyDescent="0.2">
      <c r="A41" s="3">
        <v>140</v>
      </c>
      <c r="B41" s="3">
        <v>1</v>
      </c>
      <c r="C41" s="3">
        <f t="shared" si="19"/>
        <v>1</v>
      </c>
      <c r="D41" s="3"/>
      <c r="E41" s="3"/>
      <c r="F41" s="3">
        <v>1</v>
      </c>
      <c r="G41" s="3">
        <f t="shared" si="20"/>
        <v>0</v>
      </c>
      <c r="H41" s="3">
        <f t="shared" si="21"/>
        <v>1</v>
      </c>
      <c r="I41" s="9">
        <v>72</v>
      </c>
      <c r="J41" s="15">
        <f t="shared" si="4"/>
        <v>540</v>
      </c>
      <c r="K41" s="9">
        <v>2028</v>
      </c>
      <c r="L41" s="12">
        <f t="shared" si="5"/>
        <v>-11</v>
      </c>
      <c r="M41" s="15">
        <f t="shared" si="22"/>
        <v>1080</v>
      </c>
      <c r="N41" s="9">
        <v>58.2</v>
      </c>
      <c r="O41" s="9">
        <v>180</v>
      </c>
      <c r="P41" s="18">
        <f t="shared" si="23"/>
        <v>2409.48</v>
      </c>
      <c r="Q41" s="4">
        <f t="shared" si="24"/>
        <v>10476</v>
      </c>
      <c r="R41" s="5">
        <v>52.2</v>
      </c>
      <c r="S41" s="18">
        <f t="shared" si="25"/>
        <v>1640.5416</v>
      </c>
      <c r="T41" s="4">
        <v>0</v>
      </c>
      <c r="U41" s="18">
        <v>0</v>
      </c>
      <c r="V41" s="4">
        <f t="shared" si="26"/>
        <v>5670.0216</v>
      </c>
    </row>
    <row r="42" spans="1:22" x14ac:dyDescent="0.2">
      <c r="A42" s="3">
        <v>141</v>
      </c>
      <c r="B42" s="3">
        <v>1</v>
      </c>
      <c r="C42" s="3">
        <f t="shared" si="19"/>
        <v>1</v>
      </c>
      <c r="D42" s="3"/>
      <c r="E42" s="3"/>
      <c r="F42" s="3">
        <v>1</v>
      </c>
      <c r="G42" s="3">
        <f t="shared" si="20"/>
        <v>0</v>
      </c>
      <c r="H42" s="3">
        <f t="shared" si="21"/>
        <v>1</v>
      </c>
      <c r="I42" s="9">
        <v>72</v>
      </c>
      <c r="J42" s="15">
        <f t="shared" si="4"/>
        <v>540</v>
      </c>
      <c r="K42" s="9">
        <v>2029</v>
      </c>
      <c r="L42" s="12">
        <f t="shared" si="5"/>
        <v>-12</v>
      </c>
      <c r="M42" s="15">
        <f t="shared" si="22"/>
        <v>1080</v>
      </c>
      <c r="N42" s="9">
        <v>74.3</v>
      </c>
      <c r="O42" s="9">
        <v>180</v>
      </c>
      <c r="P42" s="18">
        <f t="shared" si="23"/>
        <v>3076.02</v>
      </c>
      <c r="Q42" s="4">
        <f t="shared" si="24"/>
        <v>13374</v>
      </c>
      <c r="R42" s="5">
        <v>48.4</v>
      </c>
      <c r="S42" s="18">
        <f t="shared" si="25"/>
        <v>1941.9047999999998</v>
      </c>
      <c r="T42" s="4">
        <v>0</v>
      </c>
      <c r="U42" s="18">
        <v>0</v>
      </c>
      <c r="V42" s="4">
        <f t="shared" si="26"/>
        <v>6637.9248000000007</v>
      </c>
    </row>
    <row r="43" spans="1:22" x14ac:dyDescent="0.2">
      <c r="A43" s="3">
        <v>142</v>
      </c>
      <c r="B43" s="3">
        <v>1</v>
      </c>
      <c r="C43" s="3">
        <f t="shared" si="19"/>
        <v>1</v>
      </c>
      <c r="D43" s="3"/>
      <c r="E43" s="3"/>
      <c r="F43" s="3">
        <v>1</v>
      </c>
      <c r="G43" s="3">
        <f t="shared" si="20"/>
        <v>0</v>
      </c>
      <c r="H43" s="3">
        <f t="shared" si="21"/>
        <v>1</v>
      </c>
      <c r="I43" s="9">
        <v>72</v>
      </c>
      <c r="J43" s="15">
        <f t="shared" si="4"/>
        <v>540</v>
      </c>
      <c r="K43" s="9">
        <v>2030</v>
      </c>
      <c r="L43" s="12">
        <f t="shared" si="5"/>
        <v>-13</v>
      </c>
      <c r="M43" s="15">
        <f t="shared" si="22"/>
        <v>1080</v>
      </c>
      <c r="N43" s="9">
        <v>48.3</v>
      </c>
      <c r="O43" s="9">
        <v>180</v>
      </c>
      <c r="P43" s="18">
        <f t="shared" si="23"/>
        <v>1999.6200000000001</v>
      </c>
      <c r="Q43" s="4">
        <f t="shared" si="24"/>
        <v>8694</v>
      </c>
      <c r="R43" s="5">
        <v>52</v>
      </c>
      <c r="S43" s="18">
        <f t="shared" si="25"/>
        <v>1356.2639999999999</v>
      </c>
      <c r="T43" s="4">
        <v>0</v>
      </c>
      <c r="U43" s="18">
        <v>0</v>
      </c>
      <c r="V43" s="4">
        <f t="shared" si="26"/>
        <v>4975.884</v>
      </c>
    </row>
    <row r="44" spans="1:22" x14ac:dyDescent="0.2">
      <c r="A44" s="3">
        <v>143</v>
      </c>
      <c r="B44" s="3">
        <v>1</v>
      </c>
      <c r="C44" s="3">
        <f t="shared" si="19"/>
        <v>1</v>
      </c>
      <c r="D44" s="3"/>
      <c r="E44" s="3"/>
      <c r="F44" s="3">
        <v>1</v>
      </c>
      <c r="G44" s="3">
        <f t="shared" si="20"/>
        <v>0</v>
      </c>
      <c r="H44" s="3">
        <f t="shared" si="21"/>
        <v>1</v>
      </c>
      <c r="I44" s="9">
        <v>72</v>
      </c>
      <c r="J44" s="15">
        <f t="shared" si="4"/>
        <v>540</v>
      </c>
      <c r="K44" s="9">
        <v>2031</v>
      </c>
      <c r="L44" s="12">
        <f t="shared" si="5"/>
        <v>-14</v>
      </c>
      <c r="M44" s="15">
        <f t="shared" si="22"/>
        <v>1080</v>
      </c>
      <c r="N44" s="9">
        <v>43.2</v>
      </c>
      <c r="O44" s="9">
        <v>180</v>
      </c>
      <c r="P44" s="18">
        <f t="shared" si="23"/>
        <v>1788.4800000000002</v>
      </c>
      <c r="Q44" s="4">
        <f t="shared" si="24"/>
        <v>7776.0000000000009</v>
      </c>
      <c r="R44" s="5">
        <v>39.5</v>
      </c>
      <c r="S44" s="18">
        <f t="shared" si="25"/>
        <v>921.45600000000024</v>
      </c>
      <c r="T44" s="4">
        <v>0</v>
      </c>
      <c r="U44" s="18">
        <v>0</v>
      </c>
      <c r="V44" s="4">
        <f t="shared" si="26"/>
        <v>4329.9360000000006</v>
      </c>
    </row>
    <row r="45" spans="1:22" x14ac:dyDescent="0.2">
      <c r="A45" s="3">
        <v>144</v>
      </c>
      <c r="B45" s="3">
        <v>1</v>
      </c>
      <c r="C45" s="3">
        <f t="shared" si="19"/>
        <v>1</v>
      </c>
      <c r="D45" s="3"/>
      <c r="E45" s="3"/>
      <c r="F45" s="3">
        <v>1</v>
      </c>
      <c r="G45" s="3">
        <f t="shared" si="20"/>
        <v>0</v>
      </c>
      <c r="H45" s="3">
        <f t="shared" si="21"/>
        <v>1</v>
      </c>
      <c r="I45" s="9">
        <v>72</v>
      </c>
      <c r="J45" s="15">
        <f t="shared" si="4"/>
        <v>540</v>
      </c>
      <c r="K45" s="9">
        <v>2032</v>
      </c>
      <c r="L45" s="12">
        <f t="shared" si="5"/>
        <v>-15</v>
      </c>
      <c r="M45" s="15">
        <f t="shared" si="22"/>
        <v>1080</v>
      </c>
      <c r="N45" s="9">
        <v>65.099999999999994</v>
      </c>
      <c r="O45" s="9">
        <v>180</v>
      </c>
      <c r="P45" s="18">
        <f t="shared" si="23"/>
        <v>2695.14</v>
      </c>
      <c r="Q45" s="4">
        <f t="shared" si="24"/>
        <v>11717.999999999998</v>
      </c>
      <c r="R45" s="5">
        <v>53.3</v>
      </c>
      <c r="S45" s="18">
        <f t="shared" si="25"/>
        <v>1873.7081999999998</v>
      </c>
      <c r="T45" s="4">
        <v>0</v>
      </c>
      <c r="U45" s="18">
        <v>0</v>
      </c>
      <c r="V45" s="4">
        <f t="shared" si="26"/>
        <v>6188.8481999999995</v>
      </c>
    </row>
    <row r="46" spans="1:22" x14ac:dyDescent="0.2">
      <c r="A46" s="3">
        <v>145</v>
      </c>
      <c r="B46" s="3">
        <v>1</v>
      </c>
      <c r="C46" s="3">
        <f t="shared" si="19"/>
        <v>1</v>
      </c>
      <c r="D46" s="3"/>
      <c r="E46" s="3"/>
      <c r="F46" s="3">
        <v>1</v>
      </c>
      <c r="G46" s="3">
        <f t="shared" si="20"/>
        <v>0</v>
      </c>
      <c r="H46" s="3">
        <f t="shared" si="21"/>
        <v>1</v>
      </c>
      <c r="I46" s="9">
        <v>72</v>
      </c>
      <c r="J46" s="15">
        <f t="shared" si="4"/>
        <v>540</v>
      </c>
      <c r="K46" s="9">
        <v>2033</v>
      </c>
      <c r="L46" s="12">
        <f t="shared" si="5"/>
        <v>-16</v>
      </c>
      <c r="M46" s="15">
        <f t="shared" si="22"/>
        <v>1080</v>
      </c>
      <c r="N46" s="9">
        <v>56.9</v>
      </c>
      <c r="O46" s="9">
        <v>180</v>
      </c>
      <c r="P46" s="18">
        <f t="shared" si="23"/>
        <v>2355.6600000000003</v>
      </c>
      <c r="Q46" s="4">
        <f t="shared" si="24"/>
        <v>10242</v>
      </c>
      <c r="R46" s="5">
        <v>52.1</v>
      </c>
      <c r="S46" s="18">
        <f t="shared" si="25"/>
        <v>1600.8246000000001</v>
      </c>
      <c r="T46" s="4">
        <v>0</v>
      </c>
      <c r="U46" s="18">
        <v>0</v>
      </c>
      <c r="V46" s="4">
        <f t="shared" si="26"/>
        <v>5576.4846000000007</v>
      </c>
    </row>
    <row r="47" spans="1:22" x14ac:dyDescent="0.2">
      <c r="A47" s="3">
        <v>146</v>
      </c>
      <c r="B47" s="3">
        <v>1</v>
      </c>
      <c r="C47" s="3">
        <f t="shared" si="19"/>
        <v>1</v>
      </c>
      <c r="D47" s="3"/>
      <c r="E47" s="3"/>
      <c r="F47" s="3">
        <v>1</v>
      </c>
      <c r="G47" s="3">
        <f t="shared" si="20"/>
        <v>0</v>
      </c>
      <c r="H47" s="3">
        <f t="shared" si="21"/>
        <v>1</v>
      </c>
      <c r="I47" s="9">
        <v>36</v>
      </c>
      <c r="J47" s="15">
        <f t="shared" si="4"/>
        <v>540</v>
      </c>
      <c r="K47" s="9">
        <v>2034</v>
      </c>
      <c r="L47" s="12">
        <f t="shared" si="5"/>
        <v>-17</v>
      </c>
      <c r="M47" s="15">
        <f t="shared" si="22"/>
        <v>540</v>
      </c>
      <c r="N47" s="9">
        <v>121.3</v>
      </c>
      <c r="O47" s="9">
        <v>188</v>
      </c>
      <c r="P47" s="18">
        <f t="shared" si="23"/>
        <v>5245.0119999999997</v>
      </c>
      <c r="Q47" s="4">
        <f t="shared" si="24"/>
        <v>22804.399999999998</v>
      </c>
      <c r="R47" s="5">
        <v>26.7</v>
      </c>
      <c r="S47" s="18">
        <f t="shared" si="25"/>
        <v>1826.6324399999999</v>
      </c>
      <c r="T47" s="4">
        <v>0</v>
      </c>
      <c r="U47" s="18">
        <v>0</v>
      </c>
      <c r="V47" s="4">
        <f t="shared" si="26"/>
        <v>8151.64444</v>
      </c>
    </row>
    <row r="48" spans="1:22" x14ac:dyDescent="0.2">
      <c r="A48" s="3">
        <v>197</v>
      </c>
      <c r="B48" s="3">
        <v>1</v>
      </c>
      <c r="C48" s="3">
        <f t="shared" si="19"/>
        <v>1</v>
      </c>
      <c r="D48" s="3"/>
      <c r="E48" s="3"/>
      <c r="F48" s="3">
        <v>1</v>
      </c>
      <c r="G48" s="3">
        <f t="shared" si="20"/>
        <v>0</v>
      </c>
      <c r="H48" s="3">
        <f t="shared" si="21"/>
        <v>1</v>
      </c>
      <c r="I48" s="9">
        <v>72</v>
      </c>
      <c r="J48" s="15">
        <f t="shared" si="4"/>
        <v>540</v>
      </c>
      <c r="K48" s="9">
        <v>2035</v>
      </c>
      <c r="L48" s="12">
        <f t="shared" si="5"/>
        <v>-18</v>
      </c>
      <c r="M48" s="15">
        <f t="shared" si="22"/>
        <v>1080</v>
      </c>
      <c r="N48" s="9">
        <v>58.9</v>
      </c>
      <c r="O48" s="9">
        <v>180</v>
      </c>
      <c r="P48" s="18">
        <f t="shared" si="23"/>
        <v>2438.46</v>
      </c>
      <c r="Q48" s="4">
        <f t="shared" si="24"/>
        <v>10602</v>
      </c>
      <c r="R48" s="5">
        <v>54.7</v>
      </c>
      <c r="S48" s="18">
        <f t="shared" si="25"/>
        <v>1739.7882000000002</v>
      </c>
      <c r="T48" s="4">
        <v>0</v>
      </c>
      <c r="U48" s="18">
        <v>0</v>
      </c>
      <c r="V48" s="4">
        <f t="shared" si="26"/>
        <v>5798.2482</v>
      </c>
    </row>
    <row r="49" spans="1:22" x14ac:dyDescent="0.2">
      <c r="A49" s="3">
        <v>198</v>
      </c>
      <c r="B49" s="3">
        <v>1</v>
      </c>
      <c r="C49" s="3">
        <f t="shared" si="19"/>
        <v>1</v>
      </c>
      <c r="D49" s="3"/>
      <c r="E49" s="3"/>
      <c r="F49" s="3">
        <v>1</v>
      </c>
      <c r="G49" s="3">
        <f t="shared" si="20"/>
        <v>0</v>
      </c>
      <c r="H49" s="3">
        <f t="shared" si="21"/>
        <v>1</v>
      </c>
      <c r="I49" s="9">
        <v>72</v>
      </c>
      <c r="J49" s="15">
        <f t="shared" si="4"/>
        <v>540</v>
      </c>
      <c r="K49" s="9">
        <v>2036</v>
      </c>
      <c r="L49" s="12">
        <f t="shared" si="5"/>
        <v>-19</v>
      </c>
      <c r="M49" s="15">
        <f t="shared" si="22"/>
        <v>1080</v>
      </c>
      <c r="N49" s="9">
        <v>77.599999999999994</v>
      </c>
      <c r="O49" s="9">
        <v>180</v>
      </c>
      <c r="P49" s="18">
        <f t="shared" si="23"/>
        <v>3212.64</v>
      </c>
      <c r="Q49" s="4">
        <f t="shared" si="24"/>
        <v>13967.999999999998</v>
      </c>
      <c r="R49" s="5">
        <v>61.1</v>
      </c>
      <c r="S49" s="18">
        <f t="shared" si="25"/>
        <v>2560.3343999999997</v>
      </c>
      <c r="T49" s="4">
        <v>0</v>
      </c>
      <c r="U49" s="18">
        <v>0</v>
      </c>
      <c r="V49" s="4">
        <f t="shared" si="26"/>
        <v>7392.9743999999992</v>
      </c>
    </row>
    <row r="50" spans="1:22" x14ac:dyDescent="0.2">
      <c r="A50" s="3">
        <v>199</v>
      </c>
      <c r="B50" s="3">
        <v>1</v>
      </c>
      <c r="C50" s="3">
        <f t="shared" si="19"/>
        <v>1</v>
      </c>
      <c r="D50" s="3"/>
      <c r="E50" s="3"/>
      <c r="F50" s="3">
        <v>1</v>
      </c>
      <c r="G50" s="3">
        <f t="shared" si="20"/>
        <v>0</v>
      </c>
      <c r="H50" s="3">
        <f t="shared" si="21"/>
        <v>1</v>
      </c>
      <c r="I50" s="9">
        <v>72</v>
      </c>
      <c r="J50" s="15">
        <f t="shared" si="4"/>
        <v>540</v>
      </c>
      <c r="K50" s="9">
        <v>2037</v>
      </c>
      <c r="L50" s="12">
        <f t="shared" si="5"/>
        <v>-20</v>
      </c>
      <c r="M50" s="15">
        <f t="shared" si="22"/>
        <v>1080</v>
      </c>
      <c r="N50" s="9">
        <v>84.2</v>
      </c>
      <c r="O50" s="9">
        <v>180</v>
      </c>
      <c r="P50" s="18">
        <f t="shared" si="23"/>
        <v>3485.88</v>
      </c>
      <c r="Q50" s="4">
        <f t="shared" si="24"/>
        <v>15156</v>
      </c>
      <c r="R50" s="5">
        <v>50.9</v>
      </c>
      <c r="S50" s="18">
        <f t="shared" si="25"/>
        <v>2314.3212000000003</v>
      </c>
      <c r="T50" s="4">
        <v>0</v>
      </c>
      <c r="U50" s="18">
        <v>0</v>
      </c>
      <c r="V50" s="4">
        <f t="shared" si="26"/>
        <v>7420.2012000000004</v>
      </c>
    </row>
    <row r="51" spans="1:22" x14ac:dyDescent="0.2">
      <c r="A51" s="3">
        <v>260</v>
      </c>
      <c r="B51" s="3">
        <v>1</v>
      </c>
      <c r="C51" s="3">
        <f t="shared" si="19"/>
        <v>1</v>
      </c>
      <c r="D51" s="3"/>
      <c r="E51" s="3"/>
      <c r="F51" s="3">
        <v>1</v>
      </c>
      <c r="G51" s="3">
        <f t="shared" si="20"/>
        <v>0</v>
      </c>
      <c r="H51" s="3">
        <f t="shared" si="21"/>
        <v>1</v>
      </c>
      <c r="I51" s="9">
        <v>24</v>
      </c>
      <c r="J51" s="15">
        <f t="shared" si="4"/>
        <v>540</v>
      </c>
      <c r="K51" s="9">
        <v>2038</v>
      </c>
      <c r="L51" s="12">
        <f t="shared" si="5"/>
        <v>-21</v>
      </c>
      <c r="M51" s="15">
        <f t="shared" si="22"/>
        <v>360</v>
      </c>
      <c r="N51" s="9">
        <v>95.1</v>
      </c>
      <c r="O51" s="9">
        <v>194</v>
      </c>
      <c r="P51" s="18">
        <f t="shared" si="23"/>
        <v>4243.3620000000001</v>
      </c>
      <c r="Q51" s="4">
        <f t="shared" si="24"/>
        <v>18449.399999999998</v>
      </c>
      <c r="R51" s="5">
        <v>7.2</v>
      </c>
      <c r="S51" s="18">
        <f t="shared" si="25"/>
        <v>398.50703999999996</v>
      </c>
      <c r="T51" s="4">
        <v>0</v>
      </c>
      <c r="U51" s="18">
        <v>0</v>
      </c>
      <c r="V51" s="4">
        <f t="shared" si="26"/>
        <v>5541.8690399999996</v>
      </c>
    </row>
    <row r="52" spans="1:22" x14ac:dyDescent="0.2">
      <c r="A52" s="3">
        <v>261</v>
      </c>
      <c r="B52" s="3">
        <v>1</v>
      </c>
      <c r="C52" s="3">
        <f t="shared" si="19"/>
        <v>1</v>
      </c>
      <c r="D52" s="3"/>
      <c r="E52" s="3"/>
      <c r="F52" s="3">
        <v>1</v>
      </c>
      <c r="G52" s="3">
        <f t="shared" si="20"/>
        <v>0</v>
      </c>
      <c r="H52" s="3">
        <f t="shared" si="21"/>
        <v>1</v>
      </c>
      <c r="I52" s="9">
        <v>24</v>
      </c>
      <c r="J52" s="15">
        <f t="shared" si="4"/>
        <v>540</v>
      </c>
      <c r="K52" s="9">
        <v>2039</v>
      </c>
      <c r="L52" s="12">
        <f t="shared" si="5"/>
        <v>-22</v>
      </c>
      <c r="M52" s="15">
        <f t="shared" si="22"/>
        <v>360</v>
      </c>
      <c r="N52" s="9">
        <v>131.9</v>
      </c>
      <c r="O52" s="9">
        <v>193</v>
      </c>
      <c r="P52" s="18">
        <f t="shared" si="23"/>
        <v>5855.0410000000002</v>
      </c>
      <c r="Q52" s="4">
        <f t="shared" si="24"/>
        <v>25456.7</v>
      </c>
      <c r="R52" s="5">
        <v>9</v>
      </c>
      <c r="S52" s="18">
        <f t="shared" si="25"/>
        <v>687.33090000000004</v>
      </c>
      <c r="T52" s="4">
        <v>0</v>
      </c>
      <c r="U52" s="18">
        <v>0</v>
      </c>
      <c r="V52" s="4">
        <f t="shared" si="26"/>
        <v>7442.3719000000001</v>
      </c>
    </row>
    <row r="53" spans="1:22" x14ac:dyDescent="0.2">
      <c r="A53" s="3">
        <v>263</v>
      </c>
      <c r="B53" s="3">
        <v>1</v>
      </c>
      <c r="C53" s="3">
        <f t="shared" ref="C53:C55" si="27">IF(N53&lt;20,N53/20,1)</f>
        <v>1</v>
      </c>
      <c r="D53" s="3"/>
      <c r="E53" s="3"/>
      <c r="F53" s="3">
        <v>1</v>
      </c>
      <c r="G53" s="3">
        <f t="shared" ref="G53:G55" si="28">B53*C53*E53*F53</f>
        <v>0</v>
      </c>
      <c r="H53" s="3">
        <f t="shared" ref="H53:H55" si="29">IF(G53&gt;0,G53,1)</f>
        <v>1</v>
      </c>
      <c r="I53" s="9">
        <v>24</v>
      </c>
      <c r="J53" s="15">
        <f t="shared" si="4"/>
        <v>540</v>
      </c>
      <c r="K53" s="9">
        <v>2040</v>
      </c>
      <c r="L53" s="12">
        <f t="shared" si="5"/>
        <v>-23</v>
      </c>
      <c r="M53" s="15">
        <f t="shared" ref="M53:M55" si="30">IF(L53&gt;10,12*I53,15*I53)</f>
        <v>360</v>
      </c>
      <c r="N53" s="9">
        <v>94.2</v>
      </c>
      <c r="O53" s="9">
        <v>194</v>
      </c>
      <c r="P53" s="18">
        <f t="shared" ref="P53:P55" si="31">N53*O53*0.23</f>
        <v>4203.2039999999997</v>
      </c>
      <c r="Q53" s="4">
        <f t="shared" ref="Q53:Q55" si="32">N53*O53</f>
        <v>18274.8</v>
      </c>
      <c r="R53" s="5">
        <v>8.5</v>
      </c>
      <c r="S53" s="18">
        <f t="shared" ref="S53:S55" si="33">Q53*R53*3/1000</f>
        <v>466.00739999999996</v>
      </c>
      <c r="T53" s="4">
        <v>0</v>
      </c>
      <c r="U53" s="18">
        <v>0</v>
      </c>
      <c r="V53" s="4">
        <f t="shared" ref="V53:V55" si="34">SUM(J53,M53,P53,S53,U53)</f>
        <v>5569.2114000000001</v>
      </c>
    </row>
    <row r="54" spans="1:22" x14ac:dyDescent="0.2">
      <c r="A54" s="3">
        <v>264</v>
      </c>
      <c r="B54" s="3">
        <v>1</v>
      </c>
      <c r="C54" s="3">
        <f t="shared" si="27"/>
        <v>1</v>
      </c>
      <c r="D54" s="3"/>
      <c r="E54" s="3"/>
      <c r="F54" s="3">
        <v>1</v>
      </c>
      <c r="G54" s="3">
        <f t="shared" si="28"/>
        <v>0</v>
      </c>
      <c r="H54" s="3">
        <f t="shared" si="29"/>
        <v>1</v>
      </c>
      <c r="I54" s="9">
        <v>24</v>
      </c>
      <c r="J54" s="15">
        <f t="shared" si="4"/>
        <v>540</v>
      </c>
      <c r="K54" s="9">
        <v>2041</v>
      </c>
      <c r="L54" s="12">
        <f t="shared" si="5"/>
        <v>-24</v>
      </c>
      <c r="M54" s="15">
        <f t="shared" si="30"/>
        <v>360</v>
      </c>
      <c r="N54" s="9">
        <v>74.400000000000006</v>
      </c>
      <c r="O54" s="9">
        <v>180</v>
      </c>
      <c r="P54" s="18">
        <f t="shared" si="31"/>
        <v>3080.1600000000008</v>
      </c>
      <c r="Q54" s="4">
        <f t="shared" si="32"/>
        <v>13392.000000000002</v>
      </c>
      <c r="R54" s="5">
        <v>3.3</v>
      </c>
      <c r="S54" s="18">
        <f t="shared" si="33"/>
        <v>132.58080000000001</v>
      </c>
      <c r="T54" s="4">
        <v>0</v>
      </c>
      <c r="U54" s="18">
        <v>0</v>
      </c>
      <c r="V54" s="4">
        <f t="shared" si="34"/>
        <v>4112.7408000000005</v>
      </c>
    </row>
    <row r="55" spans="1:22" x14ac:dyDescent="0.2">
      <c r="A55" s="3">
        <v>265</v>
      </c>
      <c r="B55" s="3">
        <v>1</v>
      </c>
      <c r="C55" s="3">
        <f t="shared" si="27"/>
        <v>1</v>
      </c>
      <c r="D55" s="3"/>
      <c r="E55" s="3"/>
      <c r="F55" s="3">
        <v>1</v>
      </c>
      <c r="G55" s="3">
        <f t="shared" si="28"/>
        <v>0</v>
      </c>
      <c r="H55" s="3">
        <f t="shared" si="29"/>
        <v>1</v>
      </c>
      <c r="I55" s="9">
        <v>24</v>
      </c>
      <c r="J55" s="15">
        <f t="shared" si="4"/>
        <v>540</v>
      </c>
      <c r="K55" s="9">
        <v>2042</v>
      </c>
      <c r="L55" s="12">
        <f t="shared" si="5"/>
        <v>-25</v>
      </c>
      <c r="M55" s="15">
        <f t="shared" si="30"/>
        <v>360</v>
      </c>
      <c r="N55" s="9">
        <v>98.9</v>
      </c>
      <c r="O55" s="9">
        <v>180</v>
      </c>
      <c r="P55" s="18">
        <f t="shared" si="31"/>
        <v>4094.46</v>
      </c>
      <c r="Q55" s="4">
        <f t="shared" si="32"/>
        <v>17802</v>
      </c>
      <c r="R55" s="5">
        <v>10.199999999999999</v>
      </c>
      <c r="S55" s="18">
        <f t="shared" si="33"/>
        <v>544.74119999999994</v>
      </c>
      <c r="T55" s="4">
        <v>0</v>
      </c>
      <c r="U55" s="18">
        <v>0</v>
      </c>
      <c r="V55" s="4">
        <f t="shared" si="34"/>
        <v>5539.2011999999995</v>
      </c>
    </row>
    <row r="56" spans="1:22" x14ac:dyDescent="0.2">
      <c r="A56" s="3">
        <v>266</v>
      </c>
      <c r="B56" s="3">
        <v>1</v>
      </c>
      <c r="C56" s="3">
        <f t="shared" ref="C56" si="35">IF(N56&lt;20,N56/20,1)</f>
        <v>1</v>
      </c>
      <c r="D56" s="3"/>
      <c r="E56" s="3"/>
      <c r="F56" s="3">
        <v>1</v>
      </c>
      <c r="G56" s="3">
        <f t="shared" ref="G56" si="36">B56*C56*E56*F56</f>
        <v>0</v>
      </c>
      <c r="H56" s="3">
        <f t="shared" ref="H56" si="37">IF(G56&gt;0,G56,1)</f>
        <v>1</v>
      </c>
      <c r="I56" s="9">
        <v>24</v>
      </c>
      <c r="J56" s="15">
        <f t="shared" si="4"/>
        <v>540</v>
      </c>
      <c r="K56" s="9">
        <v>2043</v>
      </c>
      <c r="L56" s="12">
        <f t="shared" si="5"/>
        <v>-26</v>
      </c>
      <c r="M56" s="15">
        <f t="shared" ref="M56" si="38">IF(L56&gt;10,12*I56,15*I56)</f>
        <v>360</v>
      </c>
      <c r="N56" s="9">
        <v>92.9</v>
      </c>
      <c r="O56" s="9">
        <v>196</v>
      </c>
      <c r="P56" s="18">
        <f t="shared" ref="P56" si="39">N56*O56*0.23</f>
        <v>4187.9320000000007</v>
      </c>
      <c r="Q56" s="4">
        <f t="shared" ref="Q56" si="40">N56*O56</f>
        <v>18208.400000000001</v>
      </c>
      <c r="R56" s="5">
        <v>5</v>
      </c>
      <c r="S56" s="18">
        <f t="shared" ref="S56" si="41">Q56*R56*3/1000</f>
        <v>273.12599999999998</v>
      </c>
      <c r="T56" s="4">
        <v>0</v>
      </c>
      <c r="U56" s="18">
        <v>0</v>
      </c>
      <c r="V56" s="4">
        <f t="shared" ref="V56" si="42">SUM(J56,M56,P56,S56,U56)</f>
        <v>5361.0580000000009</v>
      </c>
    </row>
    <row r="58" spans="1:22" x14ac:dyDescent="0.2">
      <c r="V58" s="7">
        <f>SUM(V1:V56)</f>
        <v>332316.08587000013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M18" sqref="M18"/>
    </sheetView>
  </sheetViews>
  <sheetFormatPr baseColWidth="10" defaultRowHeight="16" x14ac:dyDescent="0.2"/>
  <cols>
    <col min="2" max="2" width="8.5" customWidth="1"/>
    <col min="3" max="4" width="7.83203125" customWidth="1"/>
    <col min="7" max="7" width="8.1640625" hidden="1" customWidth="1"/>
    <col min="8" max="8" width="11.33203125" customWidth="1"/>
    <col min="9" max="9" width="12.5" style="10" customWidth="1"/>
    <col min="10" max="10" width="10.1640625" style="16" customWidth="1"/>
    <col min="11" max="11" width="10.1640625" style="10" customWidth="1"/>
    <col min="12" max="12" width="10" style="13" hidden="1" customWidth="1"/>
    <col min="13" max="13" width="10.1640625" style="16" customWidth="1"/>
    <col min="14" max="14" width="10.1640625" style="10" customWidth="1"/>
    <col min="15" max="15" width="10.1640625" style="24" customWidth="1"/>
    <col min="16" max="16" width="9.5" style="19" customWidth="1"/>
    <col min="17" max="17" width="9.5" style="7" customWidth="1"/>
    <col min="18" max="18" width="9.5" style="21" customWidth="1"/>
    <col min="19" max="19" width="12.5" style="19" customWidth="1"/>
    <col min="20" max="20" width="9.1640625" style="7" customWidth="1"/>
    <col min="21" max="21" width="12.33203125" style="19" customWidth="1"/>
    <col min="22" max="22" width="11.5" style="7" customWidth="1"/>
  </cols>
  <sheetData>
    <row r="1" spans="1:22" ht="30" x14ac:dyDescent="0.2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5</v>
      </c>
      <c r="H1" s="1" t="s">
        <v>5</v>
      </c>
      <c r="I1" s="8" t="s">
        <v>11</v>
      </c>
      <c r="J1" s="14" t="s">
        <v>6</v>
      </c>
      <c r="K1" s="8" t="s">
        <v>12</v>
      </c>
      <c r="L1" s="11"/>
      <c r="M1" s="14" t="s">
        <v>12</v>
      </c>
      <c r="N1" s="8" t="s">
        <v>13</v>
      </c>
      <c r="O1" s="22" t="s">
        <v>14</v>
      </c>
      <c r="P1" s="17" t="s">
        <v>7</v>
      </c>
      <c r="Q1" s="2"/>
      <c r="R1" s="20" t="s">
        <v>15</v>
      </c>
      <c r="S1" s="17" t="s">
        <v>8</v>
      </c>
      <c r="T1" s="2"/>
      <c r="U1" s="17" t="s">
        <v>9</v>
      </c>
      <c r="V1" s="2" t="s">
        <v>10</v>
      </c>
    </row>
    <row r="2" spans="1:22" x14ac:dyDescent="0.2">
      <c r="A2" s="3">
        <v>1235</v>
      </c>
      <c r="B2" s="3">
        <v>1</v>
      </c>
      <c r="C2" s="3">
        <f>IF(N2&lt;20,N2/20,1)</f>
        <v>1</v>
      </c>
      <c r="D2" s="3"/>
      <c r="E2" s="3"/>
      <c r="F2" s="3">
        <v>1</v>
      </c>
      <c r="G2" s="3">
        <f>B2*C2*E2*F2</f>
        <v>0</v>
      </c>
      <c r="H2" s="3">
        <f t="shared" ref="H2:H7" si="0">IF(G2&gt;0,G2,1)</f>
        <v>1</v>
      </c>
      <c r="I2" s="9">
        <v>10</v>
      </c>
      <c r="J2" s="15">
        <f>IF(I2&gt;10,540,360)</f>
        <v>360</v>
      </c>
      <c r="K2" s="9">
        <v>2003</v>
      </c>
      <c r="L2" s="12">
        <f>2017-K2</f>
        <v>14</v>
      </c>
      <c r="M2" s="15">
        <f>12*10</f>
        <v>120</v>
      </c>
      <c r="N2" s="9">
        <f>42.8*2</f>
        <v>85.6</v>
      </c>
      <c r="O2" s="23">
        <v>180</v>
      </c>
      <c r="P2" s="18">
        <f>N2*O2*0.23</f>
        <v>3543.8399999999997</v>
      </c>
      <c r="Q2" s="4">
        <f>N2*O2</f>
        <v>15407.999999999998</v>
      </c>
      <c r="R2" s="5">
        <v>1.8</v>
      </c>
      <c r="S2" s="18">
        <f>Q2*R2*3/1000</f>
        <v>83.203199999999995</v>
      </c>
      <c r="T2" s="4">
        <v>0</v>
      </c>
      <c r="U2" s="18">
        <v>0</v>
      </c>
      <c r="V2" s="4">
        <f>SUM(J2,M2,P2,S2,U2)</f>
        <v>4107.0432000000001</v>
      </c>
    </row>
    <row r="3" spans="1:22" x14ac:dyDescent="0.2">
      <c r="A3" s="3">
        <v>2474</v>
      </c>
      <c r="B3" s="3">
        <v>1</v>
      </c>
      <c r="C3" s="3">
        <f t="shared" ref="C3:C7" si="1">IF(N3&lt;20,N3/20,1)</f>
        <v>0.85</v>
      </c>
      <c r="D3" s="3"/>
      <c r="E3" s="3"/>
      <c r="F3" s="3">
        <v>1</v>
      </c>
      <c r="G3" s="3">
        <f t="shared" ref="G3:G7" si="2">B3*C3*E3*F3</f>
        <v>0</v>
      </c>
      <c r="H3" s="3">
        <f t="shared" si="0"/>
        <v>1</v>
      </c>
      <c r="I3" s="9">
        <v>10</v>
      </c>
      <c r="J3" s="15">
        <f t="shared" ref="J3:J7" si="3">IF(I3&gt;10,540,360)</f>
        <v>360</v>
      </c>
      <c r="K3" s="9">
        <v>2014</v>
      </c>
      <c r="L3" s="12">
        <f t="shared" ref="L3:L7" si="4">2017-K3</f>
        <v>3</v>
      </c>
      <c r="M3" s="15">
        <f>20*I3</f>
        <v>200</v>
      </c>
      <c r="N3" s="9">
        <f>8.5*2</f>
        <v>17</v>
      </c>
      <c r="O3" s="23">
        <v>180</v>
      </c>
      <c r="P3" s="18">
        <f t="shared" ref="P3:P7" si="5">N3*O3*0.23</f>
        <v>703.80000000000007</v>
      </c>
      <c r="Q3" s="4">
        <f t="shared" ref="Q3:Q7" si="6">N3*O3</f>
        <v>3060</v>
      </c>
      <c r="R3" s="5">
        <v>0.3</v>
      </c>
      <c r="S3" s="18">
        <f t="shared" ref="S3:S7" si="7">Q3*R3*3/1000</f>
        <v>2.754</v>
      </c>
      <c r="T3" s="4">
        <v>0</v>
      </c>
      <c r="U3" s="18">
        <v>0</v>
      </c>
      <c r="V3" s="4">
        <f t="shared" ref="V3:V7" si="8">SUM(J3,M3,P3,S3,U3)</f>
        <v>1266.5540000000001</v>
      </c>
    </row>
    <row r="4" spans="1:22" x14ac:dyDescent="0.2">
      <c r="A4" s="3">
        <v>2149</v>
      </c>
      <c r="B4" s="3">
        <v>1</v>
      </c>
      <c r="C4" s="3">
        <f t="shared" si="1"/>
        <v>0.21000000000000002</v>
      </c>
      <c r="D4" s="3"/>
      <c r="E4" s="3"/>
      <c r="F4" s="3">
        <v>1</v>
      </c>
      <c r="G4" s="3">
        <f t="shared" si="2"/>
        <v>0</v>
      </c>
      <c r="H4" s="3">
        <f t="shared" si="0"/>
        <v>1</v>
      </c>
      <c r="I4" s="9">
        <v>7</v>
      </c>
      <c r="J4" s="15">
        <f t="shared" si="3"/>
        <v>360</v>
      </c>
      <c r="K4" s="9">
        <v>2006</v>
      </c>
      <c r="L4" s="12">
        <f t="shared" si="4"/>
        <v>11</v>
      </c>
      <c r="M4" s="15">
        <f>12*7</f>
        <v>84</v>
      </c>
      <c r="N4" s="9">
        <v>4.2</v>
      </c>
      <c r="O4" s="23">
        <v>180</v>
      </c>
      <c r="P4" s="18">
        <f t="shared" si="5"/>
        <v>173.88</v>
      </c>
      <c r="Q4" s="4">
        <f t="shared" si="6"/>
        <v>756</v>
      </c>
      <c r="R4" s="5">
        <v>0.4</v>
      </c>
      <c r="S4" s="18">
        <f t="shared" si="7"/>
        <v>0.90720000000000001</v>
      </c>
      <c r="T4" s="4">
        <v>0</v>
      </c>
      <c r="U4" s="18">
        <v>0</v>
      </c>
      <c r="V4" s="4">
        <f t="shared" si="8"/>
        <v>618.78719999999998</v>
      </c>
    </row>
    <row r="5" spans="1:22" x14ac:dyDescent="0.2">
      <c r="A5" s="3">
        <v>2239</v>
      </c>
      <c r="B5" s="3">
        <v>1</v>
      </c>
      <c r="C5" s="3">
        <f t="shared" si="1"/>
        <v>1</v>
      </c>
      <c r="D5" s="3"/>
      <c r="E5" s="3"/>
      <c r="F5" s="3">
        <v>1</v>
      </c>
      <c r="G5" s="3">
        <f t="shared" si="2"/>
        <v>0</v>
      </c>
      <c r="H5" s="3">
        <f t="shared" si="0"/>
        <v>1</v>
      </c>
      <c r="I5" s="9">
        <v>7</v>
      </c>
      <c r="J5" s="15">
        <f t="shared" si="3"/>
        <v>360</v>
      </c>
      <c r="K5" s="9">
        <v>2007</v>
      </c>
      <c r="L5" s="12">
        <f t="shared" si="4"/>
        <v>10</v>
      </c>
      <c r="M5" s="15">
        <f>16*7</f>
        <v>112</v>
      </c>
      <c r="N5" s="9">
        <f>43.5*2</f>
        <v>87</v>
      </c>
      <c r="O5" s="23">
        <v>180</v>
      </c>
      <c r="P5" s="18">
        <f t="shared" si="5"/>
        <v>3601.8</v>
      </c>
      <c r="Q5" s="4">
        <f t="shared" si="6"/>
        <v>15660</v>
      </c>
      <c r="R5" s="5">
        <v>1</v>
      </c>
      <c r="S5" s="18">
        <f t="shared" si="7"/>
        <v>46.98</v>
      </c>
      <c r="T5" s="4">
        <v>0</v>
      </c>
      <c r="U5" s="18">
        <v>0</v>
      </c>
      <c r="V5" s="4">
        <f t="shared" si="8"/>
        <v>4120.78</v>
      </c>
    </row>
    <row r="6" spans="1:22" x14ac:dyDescent="0.2">
      <c r="A6" s="3">
        <v>1233</v>
      </c>
      <c r="B6" s="3">
        <v>1</v>
      </c>
      <c r="C6" s="3">
        <f t="shared" si="1"/>
        <v>1</v>
      </c>
      <c r="D6" s="3"/>
      <c r="E6" s="3"/>
      <c r="F6" s="3">
        <v>1</v>
      </c>
      <c r="G6" s="3">
        <f t="shared" si="2"/>
        <v>0</v>
      </c>
      <c r="H6" s="3">
        <f t="shared" si="0"/>
        <v>1</v>
      </c>
      <c r="I6" s="9">
        <v>10</v>
      </c>
      <c r="J6" s="15">
        <f t="shared" si="3"/>
        <v>360</v>
      </c>
      <c r="K6" s="9">
        <v>2003</v>
      </c>
      <c r="L6" s="12">
        <f t="shared" si="4"/>
        <v>14</v>
      </c>
      <c r="M6" s="15">
        <f>12*10</f>
        <v>120</v>
      </c>
      <c r="N6" s="9">
        <f>29.3*2</f>
        <v>58.6</v>
      </c>
      <c r="O6" s="23">
        <v>180</v>
      </c>
      <c r="P6" s="18">
        <f t="shared" si="5"/>
        <v>2426.04</v>
      </c>
      <c r="Q6" s="4">
        <f t="shared" si="6"/>
        <v>10548</v>
      </c>
      <c r="R6" s="5">
        <v>0.9</v>
      </c>
      <c r="S6" s="18">
        <f t="shared" si="7"/>
        <v>28.479600000000001</v>
      </c>
      <c r="T6" s="4">
        <v>0</v>
      </c>
      <c r="U6" s="18">
        <v>0</v>
      </c>
      <c r="V6" s="4">
        <f t="shared" si="8"/>
        <v>2934.5196000000001</v>
      </c>
    </row>
    <row r="7" spans="1:22" x14ac:dyDescent="0.2">
      <c r="A7" s="3">
        <v>2474</v>
      </c>
      <c r="B7" s="3">
        <v>1</v>
      </c>
      <c r="C7" s="3">
        <f t="shared" si="1"/>
        <v>1</v>
      </c>
      <c r="D7" s="3"/>
      <c r="E7" s="3"/>
      <c r="F7" s="3">
        <v>1</v>
      </c>
      <c r="G7" s="3">
        <f t="shared" si="2"/>
        <v>0</v>
      </c>
      <c r="H7" s="3">
        <f t="shared" si="0"/>
        <v>1</v>
      </c>
      <c r="I7" s="9">
        <v>10</v>
      </c>
      <c r="J7" s="15">
        <f t="shared" si="3"/>
        <v>360</v>
      </c>
      <c r="K7" s="9">
        <v>2014</v>
      </c>
      <c r="L7" s="12">
        <f t="shared" si="4"/>
        <v>3</v>
      </c>
      <c r="M7" s="15">
        <f>I7*20</f>
        <v>200</v>
      </c>
      <c r="N7" s="9">
        <f>20.4*2</f>
        <v>40.799999999999997</v>
      </c>
      <c r="O7" s="23">
        <v>180</v>
      </c>
      <c r="P7" s="18">
        <f t="shared" si="5"/>
        <v>1689.12</v>
      </c>
      <c r="Q7" s="4">
        <f t="shared" si="6"/>
        <v>7343.9999999999991</v>
      </c>
      <c r="R7" s="5">
        <v>0.1</v>
      </c>
      <c r="S7" s="18">
        <f t="shared" si="7"/>
        <v>2.2031999999999998</v>
      </c>
      <c r="T7" s="4">
        <v>0</v>
      </c>
      <c r="U7" s="18">
        <v>0</v>
      </c>
      <c r="V7" s="4">
        <f t="shared" si="8"/>
        <v>2251.3231999999998</v>
      </c>
    </row>
    <row r="9" spans="1:22" x14ac:dyDescent="0.2">
      <c r="V9" s="7">
        <f>SUM(V2:V7)</f>
        <v>15299.0072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 subsidy actual</vt:lpstr>
      <vt:lpstr>estimated owed</vt:lpstr>
      <vt:lpstr>owed allowance</vt:lpstr>
      <vt:lpstr>contractor allowance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2017-09-14T13:07:46Z</dcterms:created>
  <dcterms:modified xsi:type="dcterms:W3CDTF">2018-03-19T14:41:48Z</dcterms:modified>
</cp:coreProperties>
</file>